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520"/>
  </bookViews>
  <sheets>
    <sheet name="说明" sheetId="1" r:id="rId1"/>
    <sheet name="材料价格" sheetId="2" r:id="rId2"/>
    <sheet name="锻造计算" sheetId="3" r:id="rId3"/>
    <sheet name="缝纫计算" sheetId="4" r:id="rId4"/>
    <sheet name="烹饪计算" sheetId="5" r:id="rId5"/>
    <sheet name="制药计算" sheetId="6" r:id="rId6"/>
    <sheet name="精体性价比" sheetId="7" r:id="rId7"/>
  </sheets>
  <calcPr calcId="144525"/>
</workbook>
</file>

<file path=xl/sharedStrings.xml><?xml version="1.0" encoding="utf-8"?>
<sst xmlns="http://schemas.openxmlformats.org/spreadsheetml/2006/main" count="729">
  <si>
    <r>
      <t xml:space="preserve">欢迎使用剑三生活技能成本利润计算表 </t>
    </r>
    <r>
      <rPr>
        <b/>
        <sz val="18"/>
        <color rgb="FF000000"/>
        <rFont val="方正小标宋简体"/>
        <charset val="134"/>
      </rPr>
      <t>v2.2</t>
    </r>
  </si>
  <si>
    <t>作者：网一二-叶希音</t>
  </si>
  <si>
    <t>Update.2016.07.05</t>
  </si>
  <si>
    <t>本表格使用说明：</t>
  </si>
  <si>
    <t>①请在【材料价格】中对应空白处，输入相关材料的单价，再在各个分页中输入交易行售价。相应的成本利润及比例会据公式自动计算，结果显示在对应的分栏中。</t>
  </si>
  <si>
    <t>②推荐使用辅助工具：【采集拾取】、【查询器】、【交易行】等插件，以便于查询材料及物品价格。（表格查询快捷键为Ctrl+F）</t>
  </si>
  <si>
    <t>③本表所列并非剑三所有的生活技能产出物品，均为经过筛选后，具备一定实用性或与成就相关的配方。</t>
  </si>
  <si>
    <t>【要啥自己点下面的表！】</t>
  </si>
  <si>
    <t>制药材料</t>
  </si>
  <si>
    <t>烹饪材料</t>
  </si>
  <si>
    <t>缝纫材料</t>
  </si>
  <si>
    <t>铸造材料</t>
  </si>
  <si>
    <t>副本材料</t>
  </si>
  <si>
    <t>特殊材料</t>
  </si>
  <si>
    <t>名称</t>
  </si>
  <si>
    <t>空白处请自行填写</t>
  </si>
  <si>
    <t>单价(金)</t>
  </si>
  <si>
    <t>药罐</t>
  </si>
  <si>
    <t>藕</t>
  </si>
  <si>
    <t>金丝线</t>
  </si>
  <si>
    <t>火墨</t>
  </si>
  <si>
    <t>蜀玉碎片</t>
  </si>
  <si>
    <t>谷帘泉</t>
  </si>
  <si>
    <t>药囊</t>
  </si>
  <si>
    <t>桂花</t>
  </si>
  <si>
    <t>百花线</t>
  </si>
  <si>
    <t>木炭</t>
  </si>
  <si>
    <t>蜀玉裂石</t>
  </si>
  <si>
    <t>趵突泉</t>
  </si>
  <si>
    <t>金针</t>
  </si>
  <si>
    <t>料酒</t>
  </si>
  <si>
    <t>百染线</t>
  </si>
  <si>
    <t>煤炭</t>
  </si>
  <si>
    <t>碧玺碎片</t>
  </si>
  <si>
    <t>五莲泉</t>
  </si>
  <si>
    <t>葫芦</t>
  </si>
  <si>
    <t>油盐酱醋</t>
  </si>
  <si>
    <t>百股线</t>
  </si>
  <si>
    <t>菜籽油</t>
  </si>
  <si>
    <t>盘龙戏凤图</t>
  </si>
  <si>
    <t>星虹泉</t>
  </si>
  <si>
    <t>药料</t>
  </si>
  <si>
    <t>白菜</t>
  </si>
  <si>
    <t>彩锦</t>
  </si>
  <si>
    <t>炼火石</t>
  </si>
  <si>
    <t>真龙谱</t>
  </si>
  <si>
    <t>中冷泉</t>
  </si>
  <si>
    <t>药用黄丹</t>
  </si>
  <si>
    <t>豆腐</t>
  </si>
  <si>
    <t>白编绫</t>
  </si>
  <si>
    <t>鎏金钥匙模</t>
  </si>
  <si>
    <t>无极丝</t>
  </si>
  <si>
    <t>桐木</t>
  </si>
  <si>
    <t>芍药</t>
  </si>
  <si>
    <t>冬瓜</t>
  </si>
  <si>
    <t>绫罗</t>
  </si>
  <si>
    <t>素银钥匙模</t>
  </si>
  <si>
    <t>漓火丝</t>
  </si>
  <si>
    <t>柳木</t>
  </si>
  <si>
    <t>兰草</t>
  </si>
  <si>
    <t>黄瓜</t>
  </si>
  <si>
    <t>水波绫</t>
  </si>
  <si>
    <t>精铁钥匙模</t>
  </si>
  <si>
    <t>姬明丝</t>
  </si>
  <si>
    <t>檀木</t>
  </si>
  <si>
    <t>相思子</t>
  </si>
  <si>
    <t>蘑菇</t>
  </si>
  <si>
    <t>方棋绫</t>
  </si>
  <si>
    <t>锡制钥匙模</t>
  </si>
  <si>
    <t>寒暝铁</t>
  </si>
  <si>
    <t>铁木</t>
  </si>
  <si>
    <t>车前草</t>
  </si>
  <si>
    <t>姜</t>
  </si>
  <si>
    <t>轻容纱</t>
  </si>
  <si>
    <t>青铜钥匙模</t>
  </si>
  <si>
    <t>恐牙</t>
  </si>
  <si>
    <t>栎实</t>
  </si>
  <si>
    <t>天名精</t>
  </si>
  <si>
    <t>葱</t>
  </si>
  <si>
    <t>扎染布</t>
  </si>
  <si>
    <t>红铜</t>
  </si>
  <si>
    <t>苍龙壁</t>
  </si>
  <si>
    <t>霓霞线</t>
  </si>
  <si>
    <t>防风</t>
  </si>
  <si>
    <t>辣椒</t>
  </si>
  <si>
    <t>蜡染布</t>
  </si>
  <si>
    <t>锡砂</t>
  </si>
  <si>
    <t>归阳木</t>
  </si>
  <si>
    <t>草木灰</t>
  </si>
  <si>
    <t>五味子</t>
  </si>
  <si>
    <t>生粉</t>
  </si>
  <si>
    <t>梨花绒</t>
  </si>
  <si>
    <t>砂铁</t>
  </si>
  <si>
    <t>渊穷砂</t>
  </si>
  <si>
    <t>翠绿流苏</t>
  </si>
  <si>
    <t>金银花</t>
  </si>
  <si>
    <t>面粉</t>
  </si>
  <si>
    <t>落日绢</t>
  </si>
  <si>
    <t>银砂</t>
  </si>
  <si>
    <t>火纹石</t>
  </si>
  <si>
    <t>飞凤绶带</t>
  </si>
  <si>
    <t>金创小草</t>
  </si>
  <si>
    <t>花椒</t>
  </si>
  <si>
    <t>古香缎</t>
  </si>
  <si>
    <t>银礁</t>
  </si>
  <si>
    <t>碧青石</t>
  </si>
  <si>
    <t>赤铁粉</t>
  </si>
  <si>
    <t>枸杞</t>
  </si>
  <si>
    <t>竹叶青</t>
  </si>
  <si>
    <t>织锦缎</t>
  </si>
  <si>
    <t>丹砂</t>
  </si>
  <si>
    <t>幻彩珠</t>
  </si>
  <si>
    <t>栀子</t>
  </si>
  <si>
    <t>千里香</t>
  </si>
  <si>
    <t>郎官清</t>
  </si>
  <si>
    <t>狼皮</t>
  </si>
  <si>
    <t>细磨石</t>
  </si>
  <si>
    <t>断玉</t>
  </si>
  <si>
    <t>蜂蜡</t>
  </si>
  <si>
    <t>田七</t>
  </si>
  <si>
    <t>西市腔</t>
  </si>
  <si>
    <t>猪皮</t>
  </si>
  <si>
    <t>月锡矿石</t>
  </si>
  <si>
    <t>霓光珠</t>
  </si>
  <si>
    <t>蓼蓝叶</t>
  </si>
  <si>
    <t>天麻</t>
  </si>
  <si>
    <t>富水</t>
  </si>
  <si>
    <t>熊皮</t>
  </si>
  <si>
    <t>赤铁矿石</t>
  </si>
  <si>
    <t>凛冰藤</t>
  </si>
  <si>
    <t>远志</t>
  </si>
  <si>
    <t>酱</t>
  </si>
  <si>
    <t>虎皮</t>
  </si>
  <si>
    <t>圳铁矿</t>
  </si>
  <si>
    <t>暮挽玉</t>
  </si>
  <si>
    <t>仙茅</t>
  </si>
  <si>
    <t>碎肉</t>
  </si>
  <si>
    <t>百花布</t>
  </si>
  <si>
    <t>禹铜矿</t>
  </si>
  <si>
    <t>大禹石</t>
  </si>
  <si>
    <t>川贝</t>
  </si>
  <si>
    <t>瘦肉</t>
  </si>
  <si>
    <t>百编皮革</t>
  </si>
  <si>
    <t>天青石</t>
  </si>
  <si>
    <t>岫山玉</t>
  </si>
  <si>
    <t>虫草</t>
  </si>
  <si>
    <t>肥肉</t>
  </si>
  <si>
    <t>天工锦缎</t>
  </si>
  <si>
    <t>烟雨石</t>
  </si>
  <si>
    <t>南红珠</t>
  </si>
  <si>
    <t>麦冬</t>
  </si>
  <si>
    <t>肠</t>
  </si>
  <si>
    <t>天工皮革</t>
  </si>
  <si>
    <t>首山铜</t>
  </si>
  <si>
    <t>金沙石</t>
  </si>
  <si>
    <t>半夏</t>
  </si>
  <si>
    <t>腰子</t>
  </si>
  <si>
    <t>蜀染布卷</t>
  </si>
  <si>
    <t>五色石</t>
  </si>
  <si>
    <t>枷罗木</t>
  </si>
  <si>
    <t>茯苓</t>
  </si>
  <si>
    <t>腱子肉</t>
  </si>
  <si>
    <t>九霞缎</t>
  </si>
  <si>
    <t>菩提木</t>
  </si>
  <si>
    <t>突厥玉</t>
  </si>
  <si>
    <t>藿香</t>
  </si>
  <si>
    <t>五花肉</t>
  </si>
  <si>
    <t>貂皮</t>
  </si>
  <si>
    <t>金甲片</t>
  </si>
  <si>
    <t>沧海珠</t>
  </si>
  <si>
    <t>菟丝子</t>
  </si>
  <si>
    <t>里脊肉</t>
  </si>
  <si>
    <t>天蛛丝</t>
  </si>
  <si>
    <t>隐月线</t>
  </si>
  <si>
    <t>月光石</t>
  </si>
  <si>
    <t>彼岸花</t>
  </si>
  <si>
    <t>排骨</t>
  </si>
  <si>
    <t>珍珠缀放</t>
  </si>
  <si>
    <t>娑罗木</t>
  </si>
  <si>
    <t>石莲花</t>
  </si>
  <si>
    <t>肉爪</t>
  </si>
  <si>
    <t>巨兽毛皮</t>
  </si>
  <si>
    <t>白术</t>
  </si>
  <si>
    <t>软骨</t>
  </si>
  <si>
    <t>紫苏</t>
  </si>
  <si>
    <t>精肉</t>
  </si>
  <si>
    <t>露水</t>
  </si>
  <si>
    <t>上等排骨</t>
  </si>
  <si>
    <t>黄精</t>
  </si>
  <si>
    <t>上等软骨</t>
  </si>
  <si>
    <t>地黄</t>
  </si>
  <si>
    <t>上等蹄花</t>
  </si>
  <si>
    <t>茜草</t>
  </si>
  <si>
    <t>上等五花肉</t>
  </si>
  <si>
    <t>靛蓝</t>
  </si>
  <si>
    <t>上等里脊肉</t>
  </si>
  <si>
    <t>绢云母</t>
  </si>
  <si>
    <t>上等腰子</t>
  </si>
  <si>
    <t>鼠尾叶</t>
  </si>
  <si>
    <t>古井泉</t>
  </si>
  <si>
    <t>巨兽血</t>
  </si>
  <si>
    <t>天山雪水</t>
  </si>
  <si>
    <t>千年冰芯</t>
  </si>
  <si>
    <t>固定数据无需修改</t>
  </si>
  <si>
    <t>依据【材料价格】页自动生成</t>
  </si>
  <si>
    <t>自行
填写</t>
  </si>
  <si>
    <t>表格自动生成</t>
  </si>
  <si>
    <t>类型</t>
  </si>
  <si>
    <t>数量</t>
  </si>
  <si>
    <t>精力</t>
  </si>
  <si>
    <t>效果</t>
  </si>
  <si>
    <t>总成本</t>
  </si>
  <si>
    <t>单价</t>
  </si>
  <si>
    <t>总利润</t>
  </si>
  <si>
    <t>利润精力比</t>
  </si>
  <si>
    <t>材料1</t>
  </si>
  <si>
    <t>材料2</t>
  </si>
  <si>
    <t>材料3</t>
  </si>
  <si>
    <t>材料4</t>
  </si>
  <si>
    <t>材料5</t>
  </si>
  <si>
    <t>固·安戎·锻（加速）</t>
  </si>
  <si>
    <t>附魔</t>
  </si>
  <si>
    <t>帽子加速+27</t>
  </si>
  <si>
    <t>碧台细钢锭</t>
  </si>
  <si>
    <t>固·安戎·锻（内破）</t>
  </si>
  <si>
    <t>帽子内功破防+27</t>
  </si>
  <si>
    <t>固·安戎·锻（外破）</t>
  </si>
  <si>
    <t>帽子外功破防+27</t>
  </si>
  <si>
    <t>剑胆·锻（内会）</t>
  </si>
  <si>
    <t>帽子内功会心+49</t>
  </si>
  <si>
    <t>佳·剑胆·锻（内会）</t>
  </si>
  <si>
    <t>帽子内功会心+56</t>
  </si>
  <si>
    <t>剑胆·锻(内会)</t>
  </si>
  <si>
    <t>剑胆·锻（外会）</t>
  </si>
  <si>
    <t>帽子外功会心+49</t>
  </si>
  <si>
    <t>佳·剑胆·锻（外会）</t>
  </si>
  <si>
    <t>帽子外功会心+56</t>
  </si>
  <si>
    <t>剑胆·锻(外会)</t>
  </si>
  <si>
    <t>剑胆·锻（内命）</t>
  </si>
  <si>
    <t>帽子内功命中+49</t>
  </si>
  <si>
    <t>佳·剑胆·锻（内命）</t>
  </si>
  <si>
    <t>帽子内功命中+56</t>
  </si>
  <si>
    <t>剑胆·锻(内命)</t>
  </si>
  <si>
    <t>剑胆·锻（外命）</t>
  </si>
  <si>
    <t>帽子外功命中+49</t>
  </si>
  <si>
    <t>佳·剑胆·锻（外命）</t>
  </si>
  <si>
    <t>帽子外功命中+56</t>
  </si>
  <si>
    <t>剑胆·锻(外命)</t>
  </si>
  <si>
    <t>剑胆·锻（无双）</t>
  </si>
  <si>
    <t>帽子无双+49</t>
  </si>
  <si>
    <t>佳·剑胆·锻（无双）</t>
  </si>
  <si>
    <t>帽子无双+56</t>
  </si>
  <si>
    <t>剑胆·锻(无双)</t>
  </si>
  <si>
    <t>剑胆·锻（仇恨）</t>
  </si>
  <si>
    <t>帽子仇恨+9.0%</t>
  </si>
  <si>
    <t>佳·剑胆·锻（仇恨）</t>
  </si>
  <si>
    <t>帽子仇恨+10.0%</t>
  </si>
  <si>
    <t>剑胆·锻(仇恨)</t>
  </si>
  <si>
    <t>固·安戎·铸（加速）</t>
  </si>
  <si>
    <t>鞋子加速+27</t>
  </si>
  <si>
    <t>固·安戎·铸（内破）</t>
  </si>
  <si>
    <t>鞋子内功破防+27</t>
  </si>
  <si>
    <t>固·安戎·铸（外破）</t>
  </si>
  <si>
    <t>鞋子外功破防+27</t>
  </si>
  <si>
    <t>剑胆·铸（内会）</t>
  </si>
  <si>
    <t>鞋子内功会心+49</t>
  </si>
  <si>
    <t>佳·剑胆·铸（内会）</t>
  </si>
  <si>
    <t>鞋子内功会心+56</t>
  </si>
  <si>
    <t>剑胆·铸(内会)</t>
  </si>
  <si>
    <t>剑胆·铸（外会）</t>
  </si>
  <si>
    <t>鞋子外功会心+49</t>
  </si>
  <si>
    <t>佳·剑胆·铸（外会）</t>
  </si>
  <si>
    <t>鞋子外功会心+56</t>
  </si>
  <si>
    <t>剑胆·铸(外会)</t>
  </si>
  <si>
    <t>剑胆·铸（内命）</t>
  </si>
  <si>
    <t>鞋子内功命中+49</t>
  </si>
  <si>
    <t>佳·剑胆·铸（内命）</t>
  </si>
  <si>
    <t>鞋子内功命中+56</t>
  </si>
  <si>
    <t>剑胆·铸(内命)</t>
  </si>
  <si>
    <t>剑胆·铸（外命）</t>
  </si>
  <si>
    <t>鞋子外功命中+49</t>
  </si>
  <si>
    <t>佳·剑胆·铸（外命）</t>
  </si>
  <si>
    <t>鞋子外功命中+56</t>
  </si>
  <si>
    <t>剑胆·铸(外命)</t>
  </si>
  <si>
    <t>剑胆·铸（无双）</t>
  </si>
  <si>
    <t>鞋子无双+49</t>
  </si>
  <si>
    <t>佳·剑胆·铸（无双）</t>
  </si>
  <si>
    <t>鞋子无双+56</t>
  </si>
  <si>
    <t>剑胆·铸(无双)</t>
  </si>
  <si>
    <t>剑胆·铸（仇恨）</t>
  </si>
  <si>
    <t>鞋子仇恨+9.0%</t>
  </si>
  <si>
    <t>佳·剑胆·铸（仇恨）</t>
  </si>
  <si>
    <t>鞋子仇恨+10.0%</t>
  </si>
  <si>
    <t>剑胆·铸(仇恨)</t>
  </si>
  <si>
    <t>龙台磨石</t>
  </si>
  <si>
    <t>武器伤害+3,30分钟</t>
  </si>
  <si>
    <t>燕勒磨石</t>
  </si>
  <si>
    <t>武器外防+9</t>
  </si>
  <si>
    <t>赤铁锭</t>
  </si>
  <si>
    <t>燧棱磨石</t>
  </si>
  <si>
    <t>武器仇恨+3.0%</t>
  </si>
  <si>
    <t>月锡锭</t>
  </si>
  <si>
    <t>龙血磨石</t>
  </si>
  <si>
    <t>偷取伤害2.05%的气血</t>
  </si>
  <si>
    <t>鬼虎磨石</t>
  </si>
  <si>
    <t>武器御劲+9</t>
  </si>
  <si>
    <t>云锡磨石</t>
  </si>
  <si>
    <t>武器外功命中+16</t>
  </si>
  <si>
    <t>云英磨石</t>
  </si>
  <si>
    <t>武器内功命中+16</t>
  </si>
  <si>
    <t>剑胆·磨石（疗伤）</t>
  </si>
  <si>
    <t>武器疗效+39</t>
  </si>
  <si>
    <t>佳·剑胆·磨石（疗伤）</t>
  </si>
  <si>
    <t>武器疗效+43</t>
  </si>
  <si>
    <t>剑胆·磨石(疗伤)</t>
  </si>
  <si>
    <t>剑胆·磨石（内伤）</t>
  </si>
  <si>
    <t>武器内功攻击+44</t>
  </si>
  <si>
    <t>佳·剑胆·磨石（内伤）</t>
  </si>
  <si>
    <t>武器内功攻击+50</t>
  </si>
  <si>
    <t>剑胆·磨石(内伤)</t>
  </si>
  <si>
    <t>剑胆·磨石（外伤）</t>
  </si>
  <si>
    <t>武器外功攻击+37</t>
  </si>
  <si>
    <t>佳·剑胆·磨石（外伤）</t>
  </si>
  <si>
    <t>武器外功攻击+42</t>
  </si>
  <si>
    <t>剑胆·磨石(外伤)</t>
  </si>
  <si>
    <t>剑胆·熔锭（疗伤）</t>
  </si>
  <si>
    <t>消耗品</t>
  </si>
  <si>
    <t>武器疗效+58，30分钟</t>
  </si>
  <si>
    <t>佳·剑胆·熔锭（疗伤）</t>
  </si>
  <si>
    <t>武器疗效+65，30分钟</t>
  </si>
  <si>
    <t>剑胆·熔锭(疗伤)</t>
  </si>
  <si>
    <t>剑胆·熔锭（内伤）</t>
  </si>
  <si>
    <t>内功攻击+67，30分钟</t>
  </si>
  <si>
    <t>佳·剑胆·熔锭（内伤）</t>
  </si>
  <si>
    <t>内功攻击+75，30分钟</t>
  </si>
  <si>
    <t>剑胆·熔锭(内伤)</t>
  </si>
  <si>
    <t>剑胆·熔锭（外伤）</t>
  </si>
  <si>
    <t>外功攻击+55，30分钟</t>
  </si>
  <si>
    <t>佳·剑胆·熔锭（外伤）</t>
  </si>
  <si>
    <t>外功攻击+62，30分钟</t>
  </si>
  <si>
    <t>剑胆·熔锭(外伤)</t>
  </si>
  <si>
    <t>铜锭</t>
  </si>
  <si>
    <t>制品</t>
  </si>
  <si>
    <t>锡锭</t>
  </si>
  <si>
    <t>生铁锭</t>
  </si>
  <si>
    <t>熟铁锭</t>
  </si>
  <si>
    <t>精铁锭</t>
  </si>
  <si>
    <t>银锭</t>
  </si>
  <si>
    <t>密银锭</t>
  </si>
  <si>
    <t>蜀钢锭</t>
  </si>
  <si>
    <t>珠</t>
  </si>
  <si>
    <t>珠·渊</t>
  </si>
  <si>
    <t>青铜钥匙</t>
  </si>
  <si>
    <t>钥匙</t>
  </si>
  <si>
    <t>锡制钥匙</t>
  </si>
  <si>
    <t>精铁钥匙</t>
  </si>
  <si>
    <t>素银钥匙</t>
  </si>
  <si>
    <t>鎏金钥匙</t>
  </si>
  <si>
    <t>角砾染（腰带）</t>
  </si>
  <si>
    <t>腰带外功会心+16</t>
  </si>
  <si>
    <t>流纹染（腰带）</t>
  </si>
  <si>
    <t>腰带内功会心+16</t>
  </si>
  <si>
    <t>云锡染（腰带）</t>
  </si>
  <si>
    <t>腰带外功命中+18</t>
  </si>
  <si>
    <t>云英染（腰带）</t>
  </si>
  <si>
    <t>腰带内功命中+16</t>
  </si>
  <si>
    <t>苍·安戎·纹（外破）</t>
  </si>
  <si>
    <t>腰带外功破防+24</t>
  </si>
  <si>
    <t>碧床落花绒</t>
  </si>
  <si>
    <t>苍·安戎·纹（内破）</t>
  </si>
  <si>
    <t>腰带内功破防+24</t>
  </si>
  <si>
    <t>剑胆·纹（内防）</t>
  </si>
  <si>
    <t>腰带内防+25</t>
  </si>
  <si>
    <t>佳·剑胆·纹（内防）</t>
  </si>
  <si>
    <t>腰带内防+28</t>
  </si>
  <si>
    <t>剑胆·纹(内防)</t>
  </si>
  <si>
    <t>剑胆·纹（外防）</t>
  </si>
  <si>
    <t>腰带外防+25</t>
  </si>
  <si>
    <t>佳·剑胆·纹（外防）</t>
  </si>
  <si>
    <t>腰带外防+28</t>
  </si>
  <si>
    <t>剑胆·纹(外防)</t>
  </si>
  <si>
    <t>剑胆·纹（闪避）</t>
  </si>
  <si>
    <t>腰带闪避+25</t>
  </si>
  <si>
    <t>佳·剑胆·纹（闪避）</t>
  </si>
  <si>
    <t>腰带闪避+28</t>
  </si>
  <si>
    <t>剑胆·纹(闪避)</t>
  </si>
  <si>
    <t>剑胆·纹（御劲）</t>
  </si>
  <si>
    <t>腰带御劲+25</t>
  </si>
  <si>
    <t>佳·剑胆·纹（御劲）</t>
  </si>
  <si>
    <t>腰带御劲+28</t>
  </si>
  <si>
    <t>剑胆·纹(御劲)</t>
  </si>
  <si>
    <t>剑胆·纹（化劲）</t>
  </si>
  <si>
    <t>腰带化劲+25</t>
  </si>
  <si>
    <t>佳·剑胆·纹（化劲）</t>
  </si>
  <si>
    <t>腰带化劲+28</t>
  </si>
  <si>
    <t>剑胆·纹(化劲)</t>
  </si>
  <si>
    <t>云锡绣（上装）</t>
  </si>
  <si>
    <t>上衣外功命中+16</t>
  </si>
  <si>
    <t>云英绣（上装）</t>
  </si>
  <si>
    <t>上衣内功命中+18</t>
  </si>
  <si>
    <t>苍·安戎·绣（外破）</t>
  </si>
  <si>
    <t>上衣外功破防+24</t>
  </si>
  <si>
    <t>苍·安戎·绣（内破）</t>
  </si>
  <si>
    <t>上衣内功破防+24</t>
  </si>
  <si>
    <t>剑胆·绣（内防）</t>
  </si>
  <si>
    <t>上衣内防+25</t>
  </si>
  <si>
    <t>佳·剑胆·绣（内防）</t>
  </si>
  <si>
    <t>上衣内防+28</t>
  </si>
  <si>
    <t>剑胆·绣(内防)</t>
  </si>
  <si>
    <t>剑胆·绣（外防）</t>
  </si>
  <si>
    <t>上衣外防+25</t>
  </si>
  <si>
    <t>佳·剑胆·绣（外防）</t>
  </si>
  <si>
    <t>上衣外防+28</t>
  </si>
  <si>
    <t>剑胆·绣(外防)</t>
  </si>
  <si>
    <t>剑胆·绣（闪避）</t>
  </si>
  <si>
    <t>上衣闪避+25</t>
  </si>
  <si>
    <t>佳·剑胆·绣（闪避）</t>
  </si>
  <si>
    <t>上衣闪避+28</t>
  </si>
  <si>
    <t>剑胆·绣(闪避)</t>
  </si>
  <si>
    <t>剑胆·绣（御劲）</t>
  </si>
  <si>
    <t>上衣御劲+25</t>
  </si>
  <si>
    <t>佳·剑胆·绣（御劲）</t>
  </si>
  <si>
    <t>上衣御劲+28</t>
  </si>
  <si>
    <t>剑胆·绣(御劲)</t>
  </si>
  <si>
    <t>剑胆·绣（化劲）</t>
  </si>
  <si>
    <t>上衣化劲+25</t>
  </si>
  <si>
    <t>佳·剑胆·绣（化劲）</t>
  </si>
  <si>
    <t>上衣化劲+28</t>
  </si>
  <si>
    <t>剑胆·绣(化劲)</t>
  </si>
  <si>
    <t>鬼虎绣（护手）</t>
  </si>
  <si>
    <t>护腕化劲+9</t>
  </si>
  <si>
    <t>天工染布</t>
  </si>
  <si>
    <t>云锡绣（护手）</t>
  </si>
  <si>
    <t>护腕外功命中+18</t>
  </si>
  <si>
    <t>云英绣（护手）</t>
  </si>
  <si>
    <t>护腕内功命中+16</t>
  </si>
  <si>
    <t>剑胆·染（疗伤）</t>
  </si>
  <si>
    <t>护腕疗效+39</t>
  </si>
  <si>
    <t>佳·剑胆·染（疗伤）</t>
  </si>
  <si>
    <t>护腕疗效+43</t>
  </si>
  <si>
    <t>剑胆·染(疗伤)</t>
  </si>
  <si>
    <t>剑胆·染（内会效）</t>
  </si>
  <si>
    <t>护腕内功会效+49</t>
  </si>
  <si>
    <t>佳剑胆·染（内会效）</t>
  </si>
  <si>
    <t>护腕内功会效+56</t>
  </si>
  <si>
    <t>剑胆·染(内会效)</t>
  </si>
  <si>
    <t>剑胆·染（外会效）</t>
  </si>
  <si>
    <t>护腕外功会效+49</t>
  </si>
  <si>
    <t>佳·剑胆·染（外会效）</t>
  </si>
  <si>
    <t>护腕外功会效+56</t>
  </si>
  <si>
    <t>剑胆·染(外会效)</t>
  </si>
  <si>
    <t>云英染（下装）</t>
  </si>
  <si>
    <t>下装内功命中+18</t>
  </si>
  <si>
    <t>云锡染（下装）</t>
  </si>
  <si>
    <t>下装外功命中+14</t>
  </si>
  <si>
    <t>鬼虎染（下装）</t>
  </si>
  <si>
    <t>下装御劲+9</t>
  </si>
  <si>
    <t>剑胆·印（疗伤）</t>
  </si>
  <si>
    <t>下装疗效+39</t>
  </si>
  <si>
    <t>佳·剑胆·印（疗伤）</t>
  </si>
  <si>
    <t>下装疗效+43</t>
  </si>
  <si>
    <t>剑胆·印(疗伤)</t>
  </si>
  <si>
    <t>剑胆·印（内会效）</t>
  </si>
  <si>
    <t>下装内功会效+49</t>
  </si>
  <si>
    <t>佳·剑胆·印（内会效）</t>
  </si>
  <si>
    <t>下装内功会效+56</t>
  </si>
  <si>
    <t>剑胆·印(内会效)</t>
  </si>
  <si>
    <t>剑胆·印（外会效）</t>
  </si>
  <si>
    <t>下装外功会效+49</t>
  </si>
  <si>
    <t>佳·剑胆·印（外会效）</t>
  </si>
  <si>
    <t>下装外功会效+56</t>
  </si>
  <si>
    <t>剑胆·印(外会效)</t>
  </si>
  <si>
    <t>彩色布卷</t>
  </si>
  <si>
    <t>绫罗布卷</t>
  </si>
  <si>
    <t>壁</t>
  </si>
  <si>
    <t>璧·渊</t>
  </si>
  <si>
    <t>五彩球·赤</t>
  </si>
  <si>
    <t>特殊</t>
  </si>
  <si>
    <t>增加攻击</t>
  </si>
  <si>
    <t>轻容纱草药包</t>
  </si>
  <si>
    <t>背包</t>
  </si>
  <si>
    <t>轻容纱金石包</t>
  </si>
  <si>
    <t>挂件包·腰部</t>
  </si>
  <si>
    <t>挂件包·背部</t>
  </si>
  <si>
    <t>挂件包·面部</t>
  </si>
  <si>
    <t>衣饰包·披风</t>
  </si>
  <si>
    <t>衣饰包·披肩</t>
  </si>
  <si>
    <t>天工锦缎皮包</t>
  </si>
  <si>
    <t>蜀染布包</t>
  </si>
  <si>
    <t>梨绒落绢包</t>
  </si>
  <si>
    <t>24格背包</t>
  </si>
  <si>
    <t>五生盘</t>
  </si>
  <si>
    <t>增强</t>
  </si>
  <si>
    <t>内功会心+74</t>
  </si>
  <si>
    <t>佳·五生盘</t>
  </si>
  <si>
    <t>内功会心+83</t>
  </si>
  <si>
    <t>通花软牛肠</t>
  </si>
  <si>
    <t>内功会心效果+74</t>
  </si>
  <si>
    <t>佳·通花软牛肠</t>
  </si>
  <si>
    <t>内功会心效果+83</t>
  </si>
  <si>
    <t>苍·走油蹄髈</t>
  </si>
  <si>
    <t>内功攻击+44</t>
  </si>
  <si>
    <t>碧笼盈蒸肉</t>
  </si>
  <si>
    <t>苍·提神汤</t>
  </si>
  <si>
    <t>内功破防+49</t>
  </si>
  <si>
    <t>水炼犊</t>
  </si>
  <si>
    <t>外功会心+74</t>
  </si>
  <si>
    <t>佳·水炼犊</t>
  </si>
  <si>
    <t>外功会心+83</t>
  </si>
  <si>
    <t>清凉月霍碎</t>
  </si>
  <si>
    <t>外功会心效果+74</t>
  </si>
  <si>
    <t>佳·清凉月霍碎</t>
  </si>
  <si>
    <t>外功会心效果+83</t>
  </si>
  <si>
    <t>苍·麻香软骨脆</t>
  </si>
  <si>
    <t>外功攻击+36</t>
  </si>
  <si>
    <t>苍·健体汤</t>
  </si>
  <si>
    <t>外功破防+49</t>
  </si>
  <si>
    <t>天花毕罗</t>
  </si>
  <si>
    <t>仇恨百分比+13%</t>
  </si>
  <si>
    <t>佳·天花毕罗</t>
  </si>
  <si>
    <t>仇恨百分比+14%</t>
  </si>
  <si>
    <t>同心生结脯</t>
  </si>
  <si>
    <t>疗效+58</t>
  </si>
  <si>
    <t>佳·同心生结脯</t>
  </si>
  <si>
    <t>疗效+65</t>
  </si>
  <si>
    <t>西江料</t>
  </si>
  <si>
    <t>气血上限+370</t>
  </si>
  <si>
    <t>佳·西江料</t>
  </si>
  <si>
    <t>气血上限+417</t>
  </si>
  <si>
    <t>长生粥</t>
  </si>
  <si>
    <t>辅助</t>
  </si>
  <si>
    <t>元气+27</t>
  </si>
  <si>
    <t>佳·长生粥</t>
  </si>
  <si>
    <t>元气+31</t>
  </si>
  <si>
    <t>小天酥</t>
  </si>
  <si>
    <t>身法+27</t>
  </si>
  <si>
    <t>佳·小天酥</t>
  </si>
  <si>
    <t>身法+31</t>
  </si>
  <si>
    <t>凤凰胎</t>
  </si>
  <si>
    <t>力道+27</t>
  </si>
  <si>
    <t>佳·凤凰胎</t>
  </si>
  <si>
    <t>力道+31</t>
  </si>
  <si>
    <t>汉宫棋</t>
  </si>
  <si>
    <t>根骨+27</t>
  </si>
  <si>
    <t>佳·汉宫棋</t>
  </si>
  <si>
    <t>根骨+31</t>
  </si>
  <si>
    <t>玉露团</t>
  </si>
  <si>
    <t>体质+37</t>
  </si>
  <si>
    <t>佳·玉露团</t>
  </si>
  <si>
    <t>体质+42</t>
  </si>
  <si>
    <t>材料</t>
  </si>
  <si>
    <t>肉馅</t>
  </si>
  <si>
    <t>肉丸</t>
  </si>
  <si>
    <t>饺子皮</t>
  </si>
  <si>
    <t>饺子馅</t>
  </si>
  <si>
    <t>戏凤饺</t>
  </si>
  <si>
    <t>全属性+1</t>
  </si>
  <si>
    <t>鸳鸯烩珍宴</t>
  </si>
  <si>
    <t>宴席</t>
  </si>
  <si>
    <t>疗效+21，内会+18</t>
  </si>
  <si>
    <t>蜀味烘焙宴</t>
  </si>
  <si>
    <t>提高威胁、双防、气血</t>
  </si>
  <si>
    <t>玉笛谁家听落梅</t>
  </si>
  <si>
    <t>根骨身法力道</t>
  </si>
  <si>
    <t>二十四桥明月夜</t>
  </si>
  <si>
    <t>元气根骨</t>
  </si>
  <si>
    <t>烧尾宴</t>
  </si>
  <si>
    <t>体质+57，其他属性+39</t>
  </si>
  <si>
    <t>佳·烧尾宴</t>
  </si>
  <si>
    <t>体质+62，其他属性+46</t>
  </si>
  <si>
    <t>好逑汤</t>
  </si>
  <si>
    <t>回复</t>
  </si>
  <si>
    <t>回复精力22</t>
  </si>
  <si>
    <t>剁椒肉爪</t>
  </si>
  <si>
    <t>回复精力24</t>
  </si>
  <si>
    <t>佳·回元餐</t>
  </si>
  <si>
    <t>回复精力30</t>
  </si>
  <si>
    <t>佳·箸头春</t>
  </si>
  <si>
    <t>回复精力61</t>
  </si>
  <si>
    <t>银丝卷</t>
  </si>
  <si>
    <t>回复体力24</t>
  </si>
  <si>
    <t>椒麻口条</t>
  </si>
  <si>
    <t>回复体力28</t>
  </si>
  <si>
    <t>佳·转神餐</t>
  </si>
  <si>
    <t>回复体力32</t>
  </si>
  <si>
    <t>佳·唐安啖</t>
  </si>
  <si>
    <t>回复体力61</t>
  </si>
  <si>
    <t>白信丹</t>
  </si>
  <si>
    <t>内功会心+111</t>
  </si>
  <si>
    <t>佳·白信丹</t>
  </si>
  <si>
    <t>内功会心+125</t>
  </si>
  <si>
    <t>妙香丹</t>
  </si>
  <si>
    <t>内功会心效果+111</t>
  </si>
  <si>
    <t>佳·妙香丹</t>
  </si>
  <si>
    <t>内功会心效果+125</t>
  </si>
  <si>
    <t>苍·提神香囊</t>
  </si>
  <si>
    <t>碧闺药花</t>
  </si>
  <si>
    <t>苍·上品展凤丹</t>
  </si>
  <si>
    <t>内功攻击+66</t>
  </si>
  <si>
    <t>玉璃丹</t>
  </si>
  <si>
    <t>外功会心+111</t>
  </si>
  <si>
    <t>佳·玉璃丹</t>
  </si>
  <si>
    <t>外功会心+125</t>
  </si>
  <si>
    <t>玉枢丹</t>
  </si>
  <si>
    <t>外功会心效果+111</t>
  </si>
  <si>
    <t>佳·玉枢丹</t>
  </si>
  <si>
    <t>外功会心效果+125</t>
  </si>
  <si>
    <t>苍·健体香囊</t>
  </si>
  <si>
    <t>苍·上品亢龙丹</t>
  </si>
  <si>
    <t>外功攻击+55</t>
  </si>
  <si>
    <t>清灵丹</t>
  </si>
  <si>
    <t>疗效+87</t>
  </si>
  <si>
    <t>佳·清灵丹</t>
  </si>
  <si>
    <t>疗效+98</t>
  </si>
  <si>
    <t>灵寿丹</t>
  </si>
  <si>
    <t>仇恨百分比+19%</t>
  </si>
  <si>
    <t>佳·灵寿丹</t>
  </si>
  <si>
    <t>仇恨百分比+22%</t>
  </si>
  <si>
    <t>玄元丹</t>
  </si>
  <si>
    <t>气血上限+556</t>
  </si>
  <si>
    <t>佳·玄元丹</t>
  </si>
  <si>
    <t>气血上限+625</t>
  </si>
  <si>
    <t>养神丹</t>
  </si>
  <si>
    <t>元气+41</t>
  </si>
  <si>
    <t>佳·养神丹</t>
  </si>
  <si>
    <t>元气+46</t>
  </si>
  <si>
    <t>补心丹</t>
  </si>
  <si>
    <t>根骨+41</t>
  </si>
  <si>
    <t>佳·补心丹</t>
  </si>
  <si>
    <t>根骨+46</t>
  </si>
  <si>
    <t>点骨丹</t>
  </si>
  <si>
    <t>力道+41</t>
  </si>
  <si>
    <t>佳·点骨丹</t>
  </si>
  <si>
    <t>力道+46</t>
  </si>
  <si>
    <t>轻身丹</t>
  </si>
  <si>
    <t>身法+41</t>
  </si>
  <si>
    <t>佳·轻身丹</t>
  </si>
  <si>
    <t>身法+46</t>
  </si>
  <si>
    <t>护命丹</t>
  </si>
  <si>
    <t>体质+56</t>
  </si>
  <si>
    <t>佳·护命丹</t>
  </si>
  <si>
    <t>体质+62</t>
  </si>
  <si>
    <t>玉蟾丹</t>
  </si>
  <si>
    <t>回血5000</t>
  </si>
  <si>
    <t>佳·玉蟾丹</t>
  </si>
  <si>
    <t>回血5500</t>
  </si>
  <si>
    <t>玉华丹</t>
  </si>
  <si>
    <t>回蓝7000</t>
  </si>
  <si>
    <t>佳·玉华丹</t>
  </si>
  <si>
    <t>回蓝9000</t>
  </si>
  <si>
    <t>金刚散</t>
  </si>
  <si>
    <t>蜀元露</t>
  </si>
  <si>
    <t>截元丹</t>
  </si>
  <si>
    <t>延迟目标复活5分钟</t>
  </si>
  <si>
    <t>飞鱼丸</t>
  </si>
  <si>
    <t>游泳速度提高50</t>
  </si>
  <si>
    <t>健胃散</t>
  </si>
  <si>
    <t>卸除自身饱食状态</t>
  </si>
  <si>
    <t>辟邪散</t>
  </si>
  <si>
    <t>解除1个毒性debuff</t>
  </si>
  <si>
    <t>避水金针</t>
  </si>
  <si>
    <t>闭气时间+30秒</t>
  </si>
  <si>
    <t>中品化功散</t>
  </si>
  <si>
    <t>解除1个阴、阳性debuff</t>
  </si>
  <si>
    <t>下品静心散</t>
  </si>
  <si>
    <t>瞬间降低自身威胁10%</t>
  </si>
  <si>
    <t>中品逍遥散</t>
  </si>
  <si>
    <t>移速提高60%</t>
  </si>
  <si>
    <t>上品逍遥散</t>
  </si>
  <si>
    <t>移速提高70%</t>
  </si>
  <si>
    <t>下品逍遥丸</t>
  </si>
  <si>
    <t>移速提高90%</t>
  </si>
  <si>
    <t>类别</t>
  </si>
  <si>
    <t>此栏请
自行填写</t>
  </si>
  <si>
    <t>回复精力</t>
  </si>
  <si>
    <t>回复体力</t>
  </si>
  <si>
    <t>精力性价比</t>
  </si>
  <si>
    <t>体力性价比</t>
  </si>
  <si>
    <t>组价格</t>
  </si>
  <si>
    <t>麻辣血肠</t>
  </si>
  <si>
    <t>麻辣毛血旺</t>
  </si>
  <si>
    <t>毛血旺</t>
  </si>
  <si>
    <t>把子肉</t>
  </si>
  <si>
    <t>车前草腰子汤</t>
  </si>
  <si>
    <t>馄饨</t>
  </si>
  <si>
    <t>大刀面</t>
  </si>
  <si>
    <t>生肉藕夹</t>
  </si>
  <si>
    <t>甘草蘑菇茶</t>
  </si>
  <si>
    <t>全是花椒的麻食泡</t>
  </si>
  <si>
    <t>煮散的馄饨</t>
  </si>
  <si>
    <t>麻食泡</t>
  </si>
  <si>
    <t>体力</t>
  </si>
  <si>
    <t>白肉血肠</t>
  </si>
  <si>
    <t>冬瓜排骨汤</t>
  </si>
  <si>
    <t>蒜泥白肉</t>
  </si>
  <si>
    <t>玉麟香腰</t>
  </si>
  <si>
    <t>贡丸汤</t>
  </si>
  <si>
    <t>灌汤包子</t>
  </si>
  <si>
    <t>岐山面</t>
  </si>
  <si>
    <t>翡翠烧麦</t>
  </si>
  <si>
    <t>慈菇菜包</t>
  </si>
  <si>
    <t>不够劲道的岐山面</t>
  </si>
  <si>
    <t>精力
&amp;
体力</t>
  </si>
  <si>
    <t>佛跳墙</t>
  </si>
  <si>
    <t>血丸子</t>
  </si>
  <si>
    <t>和合腰子</t>
  </si>
  <si>
    <t>御制麻辣血肠</t>
  </si>
  <si>
    <t>枸杞瘦肉</t>
  </si>
  <si>
    <t>缝纫制品</t>
  </si>
  <si>
    <t>消耗精力</t>
  </si>
  <si>
    <t>增加好感度</t>
  </si>
  <si>
    <t>性价比</t>
  </si>
  <si>
    <t>绣花香包</t>
  </si>
  <si>
    <t>彩锦香包</t>
  </si>
  <si>
    <t>绫罗绣球</t>
  </si>
  <si>
    <t>丹青染布画</t>
  </si>
  <si>
    <t>山水丹青染布画</t>
  </si>
  <si>
    <t>刺绣手绢</t>
  </si>
  <si>
    <t>山水刺绣手绢</t>
  </si>
  <si>
    <t>水波绫香袋</t>
  </si>
  <si>
    <t>小香包</t>
  </si>
  <si>
    <t>铸造制品</t>
  </si>
  <si>
    <t>精巧铁印</t>
  </si>
  <si>
    <t>银精巧饰</t>
  </si>
  <si>
    <t>精致铜盒</t>
  </si>
  <si>
    <t>连心锁</t>
  </si>
  <si>
    <t>铜镜</t>
  </si>
  <si>
    <t>铁偶</t>
  </si>
  <si>
    <t>铜偶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</si>
</sst>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45">
    <font>
      <sz val="11"/>
      <color theme="1"/>
      <name val="宋体"/>
      <charset val="134"/>
      <scheme val="minor"/>
    </font>
    <font>
      <b/>
      <sz val="11"/>
      <color theme="1"/>
      <name val="微软雅黑"/>
      <charset val="134"/>
    </font>
    <font>
      <sz val="11"/>
      <color theme="1"/>
      <name val="微软雅黑"/>
      <charset val="134"/>
    </font>
    <font>
      <sz val="18"/>
      <color theme="1"/>
      <name val="微软雅黑"/>
      <charset val="134"/>
    </font>
    <font>
      <sz val="9"/>
      <color theme="1"/>
      <name val="微软雅黑"/>
      <charset val="134"/>
    </font>
    <font>
      <b/>
      <sz val="12"/>
      <name val="微软雅黑"/>
      <charset val="134"/>
    </font>
    <font>
      <b/>
      <sz val="12"/>
      <color indexed="8"/>
      <name val="微软雅黑"/>
      <charset val="134"/>
    </font>
    <font>
      <sz val="12"/>
      <name val="微软雅黑"/>
      <charset val="134"/>
    </font>
    <font>
      <sz val="12"/>
      <color indexed="8"/>
      <name val="微软雅黑"/>
      <charset val="134"/>
    </font>
    <font>
      <sz val="12"/>
      <color theme="1"/>
      <name val="微软雅黑"/>
      <charset val="134"/>
    </font>
    <font>
      <sz val="16"/>
      <color indexed="8"/>
      <name val="微软雅黑"/>
      <charset val="134"/>
    </font>
    <font>
      <sz val="10"/>
      <color indexed="8"/>
      <name val="微软雅黑"/>
      <charset val="134"/>
    </font>
    <font>
      <sz val="16"/>
      <name val="微软雅黑"/>
      <charset val="134"/>
    </font>
    <font>
      <sz val="12"/>
      <color indexed="10"/>
      <name val="微软雅黑"/>
      <charset val="134"/>
    </font>
    <font>
      <sz val="8"/>
      <name val="微软雅黑"/>
      <charset val="134"/>
    </font>
    <font>
      <b/>
      <sz val="12"/>
      <color theme="1"/>
      <name val="微软雅黑"/>
      <charset val="134"/>
    </font>
    <font>
      <sz val="12"/>
      <color rgb="FF00B050"/>
      <name val="微软雅黑"/>
      <charset val="134"/>
    </font>
    <font>
      <sz val="12"/>
      <color indexed="30"/>
      <name val="微软雅黑"/>
      <charset val="134"/>
    </font>
    <font>
      <b/>
      <sz val="12"/>
      <color rgb="FFCC00FF"/>
      <name val="微软雅黑"/>
      <charset val="134"/>
    </font>
    <font>
      <sz val="12"/>
      <color rgb="FFCC00FF"/>
      <name val="微软雅黑"/>
      <charset val="134"/>
    </font>
    <font>
      <b/>
      <sz val="36"/>
      <color rgb="FF000000"/>
      <name val="方正小标宋简体"/>
      <charset val="134"/>
    </font>
    <font>
      <b/>
      <sz val="36"/>
      <color indexed="8"/>
      <name val="方正小标宋简体"/>
      <charset val="134"/>
    </font>
    <font>
      <sz val="12"/>
      <color rgb="FFFF0000"/>
      <name val="微软雅黑"/>
      <charset val="134"/>
    </font>
    <font>
      <b/>
      <sz val="12"/>
      <color rgb="FFFF0000"/>
      <name val="微软雅黑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rgb="FF000000"/>
      <name val="方正小标宋简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7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6">
    <xf numFmtId="0" fontId="0" fillId="0" borderId="0"/>
    <xf numFmtId="42" fontId="0" fillId="0" borderId="0" applyFont="0" applyFill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33" fillId="23" borderId="2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>
      <alignment vertical="center"/>
    </xf>
    <xf numFmtId="0" fontId="0" fillId="13" borderId="20" applyNumberFormat="0" applyFont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0" fillId="0" borderId="0"/>
    <xf numFmtId="0" fontId="37" fillId="0" borderId="24" applyNumberFormat="0" applyFill="0" applyAlignment="0" applyProtection="0">
      <alignment vertical="center"/>
    </xf>
    <xf numFmtId="0" fontId="39" fillId="0" borderId="24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7" fillId="0" borderId="26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9" borderId="19" applyNumberFormat="0" applyAlignment="0" applyProtection="0">
      <alignment vertical="center"/>
    </xf>
    <xf numFmtId="0" fontId="34" fillId="9" borderId="22" applyNumberFormat="0" applyAlignment="0" applyProtection="0">
      <alignment vertical="center"/>
    </xf>
    <xf numFmtId="0" fontId="29" fillId="17" borderId="21" applyNumberFormat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8" fillId="0" borderId="25" applyNumberFormat="0" applyFill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0" fillId="0" borderId="0"/>
  </cellStyleXfs>
  <cellXfs count="26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3" borderId="0" xfId="0" applyNumberFormat="1" applyFont="1" applyFill="1" applyAlignment="1">
      <alignment horizontal="center" vertical="center"/>
    </xf>
    <xf numFmtId="176" fontId="2" fillId="2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4" fillId="3" borderId="2" xfId="0" applyNumberFormat="1" applyFont="1" applyFill="1" applyBorder="1" applyAlignment="1">
      <alignment horizontal="center" vertical="center" wrapText="1"/>
    </xf>
    <xf numFmtId="176" fontId="3" fillId="4" borderId="2" xfId="0" applyNumberFormat="1" applyFont="1" applyFill="1" applyBorder="1" applyAlignment="1">
      <alignment horizontal="center" vertical="center"/>
    </xf>
    <xf numFmtId="0" fontId="5" fillId="4" borderId="3" xfId="51" applyFont="1" applyFill="1" applyBorder="1" applyAlignment="1">
      <alignment horizontal="center" vertical="center"/>
    </xf>
    <xf numFmtId="0" fontId="6" fillId="4" borderId="3" xfId="51" applyFont="1" applyFill="1" applyBorder="1" applyAlignment="1">
      <alignment horizontal="center" vertical="center"/>
    </xf>
    <xf numFmtId="176" fontId="5" fillId="3" borderId="3" xfId="51" applyNumberFormat="1" applyFont="1" applyFill="1" applyBorder="1" applyAlignment="1">
      <alignment horizontal="center" vertical="center"/>
    </xf>
    <xf numFmtId="176" fontId="5" fillId="4" borderId="3" xfId="51" applyNumberFormat="1" applyFont="1" applyFill="1" applyBorder="1" applyAlignment="1">
      <alignment horizontal="center" vertical="center"/>
    </xf>
    <xf numFmtId="176" fontId="5" fillId="4" borderId="4" xfId="51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7" fillId="2" borderId="2" xfId="51" applyFont="1" applyFill="1" applyBorder="1" applyAlignment="1">
      <alignment horizontal="center" vertical="center"/>
    </xf>
    <xf numFmtId="0" fontId="8" fillId="2" borderId="2" xfId="51" applyFont="1" applyFill="1" applyBorder="1" applyAlignment="1">
      <alignment horizontal="center" vertical="center"/>
    </xf>
    <xf numFmtId="0" fontId="7" fillId="2" borderId="6" xfId="51" applyFont="1" applyFill="1" applyBorder="1" applyAlignment="1">
      <alignment horizontal="center" vertical="center"/>
    </xf>
    <xf numFmtId="176" fontId="7" fillId="3" borderId="2" xfId="51" applyNumberFormat="1" applyFont="1" applyFill="1" applyBorder="1" applyAlignment="1">
      <alignment horizontal="center" vertical="center"/>
    </xf>
    <xf numFmtId="176" fontId="7" fillId="2" borderId="2" xfId="51" applyNumberFormat="1" applyFont="1" applyFill="1" applyBorder="1" applyAlignment="1">
      <alignment horizontal="center" vertical="center"/>
    </xf>
    <xf numFmtId="176" fontId="7" fillId="2" borderId="6" xfId="51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7" fillId="2" borderId="7" xfId="51" applyFont="1" applyFill="1" applyBorder="1" applyAlignment="1">
      <alignment horizontal="center" vertical="center"/>
    </xf>
    <xf numFmtId="176" fontId="7" fillId="2" borderId="7" xfId="51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7" fillId="2" borderId="8" xfId="51" applyFont="1" applyFill="1" applyBorder="1" applyAlignment="1">
      <alignment horizontal="center" vertical="center"/>
    </xf>
    <xf numFmtId="176" fontId="7" fillId="2" borderId="8" xfId="51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176" fontId="7" fillId="2" borderId="2" xfId="52" applyNumberFormat="1" applyFont="1" applyFill="1" applyBorder="1" applyAlignment="1">
      <alignment horizontal="center" vertical="center"/>
    </xf>
    <xf numFmtId="0" fontId="7" fillId="2" borderId="2" xfId="52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76" fontId="7" fillId="3" borderId="2" xfId="52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7" fillId="2" borderId="2" xfId="53" applyFont="1" applyFill="1" applyBorder="1" applyAlignment="1">
      <alignment horizontal="center" vertical="center"/>
    </xf>
    <xf numFmtId="0" fontId="8" fillId="2" borderId="2" xfId="53" applyFont="1" applyFill="1" applyBorder="1" applyAlignment="1">
      <alignment horizontal="center" vertical="center"/>
    </xf>
    <xf numFmtId="176" fontId="7" fillId="3" borderId="2" xfId="53" applyNumberFormat="1" applyFont="1" applyFill="1" applyBorder="1" applyAlignment="1">
      <alignment horizontal="center" vertical="center"/>
    </xf>
    <xf numFmtId="176" fontId="7" fillId="2" borderId="2" xfId="53" applyNumberFormat="1" applyFont="1" applyFill="1" applyBorder="1" applyAlignment="1">
      <alignment horizontal="center" vertical="center"/>
    </xf>
    <xf numFmtId="0" fontId="5" fillId="2" borderId="2" xfId="54" applyFont="1" applyFill="1" applyBorder="1" applyAlignment="1">
      <alignment horizontal="center" vertical="center"/>
    </xf>
    <xf numFmtId="0" fontId="6" fillId="2" borderId="2" xfId="54" applyFont="1" applyFill="1" applyBorder="1" applyAlignment="1">
      <alignment horizontal="center" vertical="center"/>
    </xf>
    <xf numFmtId="176" fontId="5" fillId="3" borderId="10" xfId="54" applyNumberFormat="1" applyFont="1" applyFill="1" applyBorder="1" applyAlignment="1">
      <alignment horizontal="center" vertical="center"/>
    </xf>
    <xf numFmtId="176" fontId="5" fillId="2" borderId="10" xfId="54" applyNumberFormat="1" applyFont="1" applyFill="1" applyBorder="1" applyAlignment="1">
      <alignment horizontal="center" vertical="center"/>
    </xf>
    <xf numFmtId="176" fontId="5" fillId="2" borderId="11" xfId="54" applyNumberFormat="1" applyFont="1" applyFill="1" applyBorder="1" applyAlignment="1">
      <alignment horizontal="center" vertical="center"/>
    </xf>
    <xf numFmtId="176" fontId="1" fillId="2" borderId="11" xfId="0" applyNumberFormat="1" applyFont="1" applyFill="1" applyBorder="1" applyAlignment="1">
      <alignment horizontal="center" vertical="center"/>
    </xf>
    <xf numFmtId="0" fontId="7" fillId="2" borderId="2" xfId="54" applyFont="1" applyFill="1" applyBorder="1" applyAlignment="1">
      <alignment horizontal="center" vertical="center"/>
    </xf>
    <xf numFmtId="0" fontId="8" fillId="2" borderId="2" xfId="54" applyFont="1" applyFill="1" applyBorder="1" applyAlignment="1">
      <alignment horizontal="center" vertical="center"/>
    </xf>
    <xf numFmtId="176" fontId="7" fillId="3" borderId="10" xfId="54" applyNumberFormat="1" applyFont="1" applyFill="1" applyBorder="1" applyAlignment="1">
      <alignment horizontal="center" vertical="center"/>
    </xf>
    <xf numFmtId="176" fontId="7" fillId="2" borderId="10" xfId="54" applyNumberFormat="1" applyFont="1" applyFill="1" applyBorder="1" applyAlignment="1">
      <alignment horizontal="center" vertical="center"/>
    </xf>
    <xf numFmtId="176" fontId="7" fillId="2" borderId="11" xfId="54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5" fillId="2" borderId="2" xfId="13" applyFont="1" applyFill="1" applyBorder="1" applyAlignment="1">
      <alignment horizontal="center" vertical="center"/>
    </xf>
    <xf numFmtId="176" fontId="5" fillId="3" borderId="10" xfId="13" applyNumberFormat="1" applyFont="1" applyFill="1" applyBorder="1" applyAlignment="1">
      <alignment horizontal="center" vertical="center"/>
    </xf>
    <xf numFmtId="176" fontId="5" fillId="2" borderId="10" xfId="13" applyNumberFormat="1" applyFont="1" applyFill="1" applyBorder="1" applyAlignment="1">
      <alignment horizontal="center" vertical="center"/>
    </xf>
    <xf numFmtId="176" fontId="5" fillId="2" borderId="11" xfId="13" applyNumberFormat="1" applyFont="1" applyFill="1" applyBorder="1" applyAlignment="1">
      <alignment horizontal="center" vertical="center"/>
    </xf>
    <xf numFmtId="0" fontId="7" fillId="2" borderId="2" xfId="13" applyFont="1" applyFill="1" applyBorder="1" applyAlignment="1">
      <alignment horizontal="center" vertical="center"/>
    </xf>
    <xf numFmtId="176" fontId="7" fillId="3" borderId="10" xfId="13" applyNumberFormat="1" applyFont="1" applyFill="1" applyBorder="1" applyAlignment="1">
      <alignment horizontal="center" vertical="center"/>
    </xf>
    <xf numFmtId="176" fontId="7" fillId="2" borderId="10" xfId="13" applyNumberFormat="1" applyFont="1" applyFill="1" applyBorder="1" applyAlignment="1">
      <alignment horizontal="center" vertical="center"/>
    </xf>
    <xf numFmtId="176" fontId="7" fillId="2" borderId="11" xfId="13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2" fillId="3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2" fillId="3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2" fillId="3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2" borderId="5" xfId="0" applyNumberFormat="1" applyFont="1" applyFill="1" applyBorder="1" applyAlignment="1">
      <alignment horizontal="left" vertical="center"/>
    </xf>
    <xf numFmtId="0" fontId="9" fillId="2" borderId="5" xfId="0" applyNumberFormat="1" applyFont="1" applyFill="1" applyBorder="1" applyAlignment="1">
      <alignment horizontal="center" vertical="center"/>
    </xf>
    <xf numFmtId="0" fontId="9" fillId="2" borderId="12" xfId="0" applyNumberFormat="1" applyFont="1" applyFill="1" applyBorder="1" applyAlignment="1">
      <alignment horizontal="center" vertical="center"/>
    </xf>
    <xf numFmtId="0" fontId="9" fillId="3" borderId="5" xfId="0" applyNumberFormat="1" applyFont="1" applyFill="1" applyBorder="1" applyAlignment="1">
      <alignment horizontal="center" vertical="center"/>
    </xf>
    <xf numFmtId="0" fontId="9" fillId="2" borderId="4" xfId="0" applyNumberFormat="1" applyFont="1" applyFill="1" applyBorder="1" applyAlignment="1">
      <alignment horizontal="left" vertical="center"/>
    </xf>
    <xf numFmtId="0" fontId="9" fillId="2" borderId="4" xfId="0" applyNumberFormat="1" applyFont="1" applyFill="1" applyBorder="1" applyAlignment="1">
      <alignment horizontal="center" vertical="center"/>
    </xf>
    <xf numFmtId="0" fontId="9" fillId="2" borderId="0" xfId="0" applyNumberFormat="1" applyFont="1" applyFill="1" applyBorder="1" applyAlignment="1">
      <alignment horizontal="center" vertical="center"/>
    </xf>
    <xf numFmtId="0" fontId="9" fillId="3" borderId="4" xfId="0" applyNumberFormat="1" applyFont="1" applyFill="1" applyBorder="1" applyAlignment="1">
      <alignment horizontal="center" vertical="center"/>
    </xf>
    <xf numFmtId="0" fontId="9" fillId="2" borderId="3" xfId="0" applyNumberFormat="1" applyFont="1" applyFill="1" applyBorder="1" applyAlignment="1">
      <alignment horizontal="left" vertical="center"/>
    </xf>
    <xf numFmtId="0" fontId="9" fillId="2" borderId="3" xfId="0" applyNumberFormat="1" applyFont="1" applyFill="1" applyBorder="1" applyAlignment="1">
      <alignment horizontal="center" vertical="center"/>
    </xf>
    <xf numFmtId="0" fontId="9" fillId="2" borderId="13" xfId="0" applyNumberFormat="1" applyFont="1" applyFill="1" applyBorder="1" applyAlignment="1">
      <alignment horizontal="center" vertical="center"/>
    </xf>
    <xf numFmtId="0" fontId="9" fillId="3" borderId="3" xfId="0" applyNumberFormat="1" applyFont="1" applyFill="1" applyBorder="1" applyAlignment="1">
      <alignment horizontal="center" vertical="center"/>
    </xf>
    <xf numFmtId="0" fontId="9" fillId="2" borderId="10" xfId="0" applyNumberFormat="1" applyFont="1" applyFill="1" applyBorder="1" applyAlignment="1">
      <alignment horizontal="center" vertical="center"/>
    </xf>
    <xf numFmtId="0" fontId="9" fillId="2" borderId="11" xfId="0" applyNumberFormat="1" applyFont="1" applyFill="1" applyBorder="1" applyAlignment="1">
      <alignment horizontal="center" vertical="center"/>
    </xf>
    <xf numFmtId="0" fontId="9" fillId="2" borderId="9" xfId="0" applyNumberFormat="1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14" xfId="0" applyNumberFormat="1" applyFont="1" applyFill="1" applyBorder="1" applyAlignment="1">
      <alignment horizontal="center" vertical="center"/>
    </xf>
    <xf numFmtId="0" fontId="9" fillId="2" borderId="15" xfId="0" applyNumberFormat="1" applyFont="1" applyFill="1" applyBorder="1" applyAlignment="1">
      <alignment horizontal="center" vertical="center"/>
    </xf>
    <xf numFmtId="0" fontId="9" fillId="2" borderId="16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0" fontId="9" fillId="2" borderId="17" xfId="0" applyNumberFormat="1" applyFont="1" applyFill="1" applyBorder="1" applyAlignment="1">
      <alignment horizontal="center" vertical="center"/>
    </xf>
    <xf numFmtId="0" fontId="9" fillId="2" borderId="18" xfId="0" applyNumberFormat="1" applyFont="1" applyFill="1" applyBorder="1" applyAlignment="1">
      <alignment horizontal="center" vertical="center"/>
    </xf>
    <xf numFmtId="0" fontId="9" fillId="2" borderId="4" xfId="55" applyNumberFormat="1" applyFont="1" applyFill="1" applyBorder="1" applyAlignment="1">
      <alignment horizontal="left" vertical="center"/>
    </xf>
    <xf numFmtId="0" fontId="9" fillId="2" borderId="4" xfId="55" applyNumberFormat="1" applyFont="1" applyFill="1" applyBorder="1" applyAlignment="1">
      <alignment horizontal="center" vertical="center"/>
    </xf>
    <xf numFmtId="0" fontId="9" fillId="2" borderId="0" xfId="55" applyNumberFormat="1" applyFont="1" applyFill="1" applyBorder="1" applyAlignment="1">
      <alignment horizontal="center" vertical="center"/>
    </xf>
    <xf numFmtId="0" fontId="0" fillId="2" borderId="0" xfId="55" applyNumberFormat="1" applyFont="1" applyFill="1" applyBorder="1" applyAlignment="1">
      <alignment horizontal="center" vertical="center"/>
    </xf>
    <xf numFmtId="0" fontId="9" fillId="3" borderId="4" xfId="55" applyNumberFormat="1" applyFont="1" applyFill="1" applyBorder="1" applyAlignment="1">
      <alignment horizontal="center" vertical="center"/>
    </xf>
    <xf numFmtId="0" fontId="9" fillId="2" borderId="4" xfId="20" applyNumberFormat="1" applyFont="1" applyFill="1" applyBorder="1" applyAlignment="1">
      <alignment horizontal="left" vertical="center"/>
    </xf>
    <xf numFmtId="0" fontId="9" fillId="2" borderId="4" xfId="20" applyNumberFormat="1" applyFont="1" applyFill="1" applyBorder="1" applyAlignment="1">
      <alignment horizontal="center" vertical="center"/>
    </xf>
    <xf numFmtId="0" fontId="9" fillId="2" borderId="0" xfId="20" applyNumberFormat="1" applyFont="1" applyFill="1" applyBorder="1" applyAlignment="1">
      <alignment horizontal="center" vertical="center"/>
    </xf>
    <xf numFmtId="0" fontId="0" fillId="2" borderId="0" xfId="20" applyNumberFormat="1" applyFont="1" applyFill="1" applyBorder="1" applyAlignment="1">
      <alignment horizontal="center" vertical="center"/>
    </xf>
    <xf numFmtId="0" fontId="9" fillId="3" borderId="4" xfId="20" applyNumberFormat="1" applyFont="1" applyFill="1" applyBorder="1" applyAlignment="1">
      <alignment horizontal="center" vertical="center"/>
    </xf>
    <xf numFmtId="0" fontId="9" fillId="2" borderId="16" xfId="55" applyNumberFormat="1" applyFont="1" applyFill="1" applyBorder="1" applyAlignment="1">
      <alignment horizontal="center" vertical="center"/>
    </xf>
    <xf numFmtId="0" fontId="9" fillId="2" borderId="1" xfId="55" applyNumberFormat="1" applyFont="1" applyFill="1" applyBorder="1" applyAlignment="1">
      <alignment horizontal="center" vertical="center"/>
    </xf>
    <xf numFmtId="0" fontId="9" fillId="2" borderId="16" xfId="20" applyNumberFormat="1" applyFont="1" applyFill="1" applyBorder="1" applyAlignment="1">
      <alignment horizontal="center" vertical="center"/>
    </xf>
    <xf numFmtId="0" fontId="9" fillId="2" borderId="1" xfId="20" applyNumberFormat="1" applyFont="1" applyFill="1" applyBorder="1" applyAlignment="1">
      <alignment horizontal="center" vertical="center"/>
    </xf>
    <xf numFmtId="0" fontId="0" fillId="2" borderId="16" xfId="55" applyNumberFormat="1" applyFont="1" applyFill="1" applyBorder="1" applyAlignment="1">
      <alignment horizontal="center" vertical="center"/>
    </xf>
    <xf numFmtId="0" fontId="0" fillId="2" borderId="1" xfId="55" applyNumberFormat="1" applyFont="1" applyFill="1" applyBorder="1" applyAlignment="1">
      <alignment horizontal="center" vertical="center"/>
    </xf>
    <xf numFmtId="0" fontId="0" fillId="2" borderId="16" xfId="20" applyNumberFormat="1" applyFont="1" applyFill="1" applyBorder="1" applyAlignment="1">
      <alignment horizontal="center" vertical="center"/>
    </xf>
    <xf numFmtId="0" fontId="0" fillId="2" borderId="1" xfId="2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left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2" borderId="0" xfId="0" applyFont="1" applyFill="1" applyBorder="1" applyAlignment="1" applyProtection="1">
      <alignment horizontal="left" vertical="center"/>
    </xf>
    <xf numFmtId="0" fontId="7" fillId="3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 applyProtection="1">
      <alignment horizontal="center" vertical="center"/>
    </xf>
    <xf numFmtId="0" fontId="8" fillId="2" borderId="14" xfId="0" applyFont="1" applyFill="1" applyBorder="1" applyAlignment="1" applyProtection="1">
      <alignment horizontal="left" vertical="center"/>
    </xf>
    <xf numFmtId="0" fontId="7" fillId="3" borderId="12" xfId="0" applyFont="1" applyFill="1" applyBorder="1" applyAlignment="1">
      <alignment horizontal="center" vertical="center"/>
    </xf>
    <xf numFmtId="0" fontId="8" fillId="2" borderId="16" xfId="0" applyFont="1" applyFill="1" applyBorder="1" applyAlignment="1" applyProtection="1">
      <alignment horizontal="left" vertical="center"/>
    </xf>
    <xf numFmtId="0" fontId="8" fillId="2" borderId="17" xfId="0" applyFont="1" applyFill="1" applyBorder="1" applyAlignment="1" applyProtection="1">
      <alignment horizontal="left" vertical="center"/>
    </xf>
    <xf numFmtId="0" fontId="7" fillId="3" borderId="13" xfId="0" applyFont="1" applyFill="1" applyBorder="1" applyAlignment="1">
      <alignment horizontal="center" vertical="center"/>
    </xf>
    <xf numFmtId="0" fontId="13" fillId="2" borderId="17" xfId="0" applyFont="1" applyFill="1" applyBorder="1" applyAlignment="1" applyProtection="1">
      <alignment horizontal="left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7" fillId="5" borderId="0" xfId="0" applyFont="1" applyFill="1" applyBorder="1" applyAlignment="1" applyProtection="1">
      <alignment horizontal="center" vertical="center"/>
    </xf>
    <xf numFmtId="0" fontId="5" fillId="5" borderId="2" xfId="0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horizontal="center" vertical="center" wrapText="1"/>
    </xf>
    <xf numFmtId="0" fontId="14" fillId="5" borderId="2" xfId="0" applyFont="1" applyFill="1" applyBorder="1" applyAlignment="1" applyProtection="1">
      <alignment horizontal="center" vertical="center"/>
    </xf>
    <xf numFmtId="0" fontId="7" fillId="5" borderId="2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" vertical="center"/>
    </xf>
    <xf numFmtId="0" fontId="7" fillId="5" borderId="14" xfId="0" applyFont="1" applyFill="1" applyBorder="1" applyAlignment="1" applyProtection="1">
      <alignment horizontal="center" vertical="center"/>
    </xf>
    <xf numFmtId="0" fontId="7" fillId="5" borderId="15" xfId="0" applyFont="1" applyFill="1" applyBorder="1" applyAlignment="1" applyProtection="1">
      <alignment horizontal="center" vertical="center"/>
      <protection locked="0"/>
    </xf>
    <xf numFmtId="0" fontId="15" fillId="5" borderId="14" xfId="0" applyNumberFormat="1" applyFont="1" applyFill="1" applyBorder="1" applyAlignment="1" applyProtection="1">
      <alignment horizontal="center" vertical="center"/>
    </xf>
    <xf numFmtId="0" fontId="13" fillId="5" borderId="15" xfId="0" applyNumberFormat="1" applyFont="1" applyFill="1" applyBorder="1" applyAlignment="1" applyProtection="1">
      <alignment horizontal="center" vertical="center"/>
      <protection locked="0"/>
    </xf>
    <xf numFmtId="0" fontId="7" fillId="5" borderId="16" xfId="0" applyFont="1" applyFill="1" applyBorder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 vertical="center"/>
      <protection locked="0"/>
    </xf>
    <xf numFmtId="0" fontId="15" fillId="5" borderId="16" xfId="0" applyNumberFormat="1" applyFont="1" applyFill="1" applyBorder="1" applyAlignment="1" applyProtection="1">
      <alignment horizontal="center" vertical="center"/>
    </xf>
    <xf numFmtId="0" fontId="13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6" xfId="0" applyNumberFormat="1" applyFont="1" applyFill="1" applyBorder="1" applyAlignment="1" applyProtection="1">
      <alignment horizontal="center" vertical="center"/>
    </xf>
    <xf numFmtId="0" fontId="7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7" xfId="0" applyFont="1" applyFill="1" applyBorder="1" applyAlignment="1" applyProtection="1">
      <alignment horizontal="center" vertical="center"/>
    </xf>
    <xf numFmtId="0" fontId="7" fillId="5" borderId="18" xfId="0" applyFont="1" applyFill="1" applyBorder="1" applyAlignment="1" applyProtection="1">
      <alignment horizontal="center" vertical="center"/>
      <protection locked="0"/>
    </xf>
    <xf numFmtId="0" fontId="7" fillId="5" borderId="15" xfId="0" applyFont="1" applyFill="1" applyBorder="1" applyAlignment="1" applyProtection="1">
      <alignment horizontal="center" vertical="center"/>
    </xf>
    <xf numFmtId="0" fontId="7" fillId="5" borderId="1" xfId="0" applyFont="1" applyFill="1" applyBorder="1" applyAlignment="1" applyProtection="1">
      <alignment horizontal="center" vertical="center"/>
    </xf>
    <xf numFmtId="0" fontId="7" fillId="5" borderId="1" xfId="0" applyNumberFormat="1" applyFont="1" applyFill="1" applyBorder="1" applyAlignment="1" applyProtection="1">
      <alignment horizontal="center" vertical="center"/>
    </xf>
    <xf numFmtId="0" fontId="7" fillId="5" borderId="17" xfId="0" applyNumberFormat="1" applyFont="1" applyFill="1" applyBorder="1" applyAlignment="1" applyProtection="1">
      <alignment horizontal="center" vertical="center"/>
    </xf>
    <xf numFmtId="0" fontId="7" fillId="5" borderId="18" xfId="0" applyNumberFormat="1" applyFont="1" applyFill="1" applyBorder="1" applyAlignment="1" applyProtection="1">
      <alignment horizontal="center" vertical="center"/>
      <protection locked="0"/>
    </xf>
    <xf numFmtId="0" fontId="7" fillId="5" borderId="18" xfId="0" applyFont="1" applyFill="1" applyBorder="1" applyAlignment="1" applyProtection="1">
      <alignment horizontal="center" vertical="center"/>
    </xf>
    <xf numFmtId="0" fontId="16" fillId="5" borderId="10" xfId="0" applyFont="1" applyFill="1" applyBorder="1" applyAlignment="1" applyProtection="1">
      <alignment horizontal="center" vertical="center"/>
    </xf>
    <xf numFmtId="0" fontId="16" fillId="5" borderId="11" xfId="0" applyFont="1" applyFill="1" applyBorder="1" applyAlignment="1" applyProtection="1">
      <alignment horizontal="center" vertical="center"/>
      <protection locked="0"/>
    </xf>
    <xf numFmtId="0" fontId="17" fillId="5" borderId="14" xfId="0" applyFont="1" applyFill="1" applyBorder="1" applyAlignment="1" applyProtection="1">
      <alignment horizontal="center" vertical="center"/>
    </xf>
    <xf numFmtId="0" fontId="17" fillId="5" borderId="15" xfId="0" applyFont="1" applyFill="1" applyBorder="1" applyAlignment="1" applyProtection="1">
      <alignment horizontal="center" vertical="center"/>
      <protection locked="0"/>
    </xf>
    <xf numFmtId="0" fontId="17" fillId="5" borderId="16" xfId="0" applyFont="1" applyFill="1" applyBorder="1" applyAlignment="1" applyProtection="1">
      <alignment horizontal="center" vertical="center"/>
    </xf>
    <xf numFmtId="0" fontId="17" fillId="5" borderId="1" xfId="0" applyFont="1" applyFill="1" applyBorder="1" applyAlignment="1" applyProtection="1">
      <alignment horizontal="center" vertical="center"/>
      <protection locked="0"/>
    </xf>
    <xf numFmtId="0" fontId="17" fillId="5" borderId="1" xfId="0" applyFont="1" applyFill="1" applyBorder="1" applyAlignment="1" applyProtection="1">
      <alignment horizontal="center" vertical="center"/>
    </xf>
    <xf numFmtId="0" fontId="17" fillId="5" borderId="17" xfId="0" applyFont="1" applyFill="1" applyBorder="1" applyAlignment="1" applyProtection="1">
      <alignment horizontal="center" vertical="center"/>
    </xf>
    <xf numFmtId="0" fontId="17" fillId="5" borderId="18" xfId="0" applyFont="1" applyFill="1" applyBorder="1" applyAlignment="1" applyProtection="1">
      <alignment horizontal="center" vertical="center"/>
    </xf>
    <xf numFmtId="0" fontId="16" fillId="5" borderId="14" xfId="0" applyFont="1" applyFill="1" applyBorder="1" applyAlignment="1" applyProtection="1">
      <alignment horizontal="center" vertical="center"/>
    </xf>
    <xf numFmtId="0" fontId="16" fillId="5" borderId="15" xfId="0" applyFont="1" applyFill="1" applyBorder="1" applyAlignment="1" applyProtection="1">
      <alignment horizontal="center" vertical="center"/>
      <protection locked="0"/>
    </xf>
    <xf numFmtId="0" fontId="16" fillId="5" borderId="0" xfId="0" applyFont="1" applyFill="1" applyBorder="1" applyAlignment="1" applyProtection="1">
      <alignment horizontal="center" vertical="center"/>
    </xf>
    <xf numFmtId="0" fontId="16" fillId="5" borderId="1" xfId="0" applyFont="1" applyFill="1" applyBorder="1" applyAlignment="1" applyProtection="1">
      <alignment horizontal="center" vertical="center"/>
      <protection locked="0"/>
    </xf>
    <xf numFmtId="0" fontId="17" fillId="5" borderId="15" xfId="0" applyFont="1" applyFill="1" applyBorder="1" applyAlignment="1" applyProtection="1">
      <alignment horizontal="center" vertical="center"/>
    </xf>
    <xf numFmtId="0" fontId="16" fillId="5" borderId="11" xfId="0" applyFont="1" applyFill="1" applyBorder="1" applyAlignment="1" applyProtection="1">
      <alignment horizontal="center" vertical="center"/>
    </xf>
    <xf numFmtId="0" fontId="17" fillId="5" borderId="18" xfId="0" applyFont="1" applyFill="1" applyBorder="1" applyAlignment="1" applyProtection="1">
      <alignment horizontal="center" vertical="center"/>
      <protection locked="0"/>
    </xf>
    <xf numFmtId="0" fontId="7" fillId="5" borderId="0" xfId="0" applyFont="1" applyFill="1" applyBorder="1" applyAlignment="1" applyProtection="1">
      <alignment horizontal="center" vertical="center"/>
      <protection locked="0"/>
    </xf>
    <xf numFmtId="0" fontId="5" fillId="5" borderId="2" xfId="0" applyFont="1" applyFill="1" applyBorder="1" applyAlignment="1" applyProtection="1">
      <alignment horizontal="center" vertical="center" wrapText="1"/>
    </xf>
    <xf numFmtId="0" fontId="18" fillId="5" borderId="14" xfId="0" applyFont="1" applyFill="1" applyBorder="1" applyAlignment="1" applyProtection="1">
      <alignment horizontal="center" vertical="center"/>
    </xf>
    <xf numFmtId="0" fontId="19" fillId="5" borderId="15" xfId="0" applyFont="1" applyFill="1" applyBorder="1" applyAlignment="1" applyProtection="1">
      <alignment horizontal="center" vertical="center"/>
      <protection locked="0"/>
    </xf>
    <xf numFmtId="0" fontId="19" fillId="5" borderId="16" xfId="0" applyFont="1" applyFill="1" applyBorder="1" applyAlignment="1" applyProtection="1">
      <alignment horizontal="center" vertical="center"/>
    </xf>
    <xf numFmtId="0" fontId="19" fillId="5" borderId="1" xfId="0" applyFont="1" applyFill="1" applyBorder="1" applyAlignment="1" applyProtection="1">
      <alignment horizontal="center" vertical="center"/>
    </xf>
    <xf numFmtId="0" fontId="16" fillId="5" borderId="16" xfId="0" applyFont="1" applyFill="1" applyBorder="1" applyAlignment="1" applyProtection="1">
      <alignment horizontal="center" vertical="center"/>
    </xf>
    <xf numFmtId="0" fontId="18" fillId="5" borderId="17" xfId="0" applyFont="1" applyFill="1" applyBorder="1" applyAlignment="1" applyProtection="1">
      <alignment horizontal="center" vertical="center"/>
    </xf>
    <xf numFmtId="0" fontId="19" fillId="5" borderId="18" xfId="0" applyFont="1" applyFill="1" applyBorder="1" applyAlignment="1" applyProtection="1">
      <alignment horizontal="center" vertical="center"/>
    </xf>
    <xf numFmtId="0" fontId="16" fillId="5" borderId="17" xfId="0" applyFont="1" applyFill="1" applyBorder="1" applyAlignment="1" applyProtection="1">
      <alignment horizontal="center" vertical="center"/>
    </xf>
    <xf numFmtId="0" fontId="19" fillId="5" borderId="14" xfId="0" applyFont="1" applyFill="1" applyBorder="1" applyAlignment="1" applyProtection="1">
      <alignment horizontal="center" vertical="center"/>
    </xf>
    <xf numFmtId="0" fontId="19" fillId="5" borderId="1" xfId="0" applyFont="1" applyFill="1" applyBorder="1" applyAlignment="1" applyProtection="1">
      <alignment horizontal="center" vertical="center"/>
      <protection locked="0"/>
    </xf>
    <xf numFmtId="0" fontId="19" fillId="5" borderId="17" xfId="0" applyFont="1" applyFill="1" applyBorder="1" applyAlignment="1" applyProtection="1">
      <alignment horizontal="center" vertical="center"/>
    </xf>
    <xf numFmtId="0" fontId="16" fillId="5" borderId="18" xfId="0" applyFont="1" applyFill="1" applyBorder="1" applyAlignment="1" applyProtection="1">
      <alignment horizontal="center" vertical="center"/>
      <protection locked="0"/>
    </xf>
    <xf numFmtId="0" fontId="16" fillId="5" borderId="1" xfId="0" applyFont="1" applyFill="1" applyBorder="1" applyAlignment="1" applyProtection="1">
      <alignment horizontal="center" vertical="center"/>
    </xf>
    <xf numFmtId="0" fontId="16" fillId="5" borderId="18" xfId="0" applyFont="1" applyFill="1" applyBorder="1" applyAlignment="1" applyProtection="1">
      <alignment horizontal="center" vertical="center"/>
    </xf>
    <xf numFmtId="0" fontId="13" fillId="5" borderId="0" xfId="0" applyFont="1" applyFill="1" applyBorder="1" applyAlignment="1" applyProtection="1">
      <alignment horizontal="center" vertical="center"/>
    </xf>
    <xf numFmtId="0" fontId="8" fillId="5" borderId="0" xfId="0" applyFont="1" applyFill="1" applyAlignment="1">
      <alignment vertical="center"/>
    </xf>
    <xf numFmtId="0" fontId="20" fillId="5" borderId="0" xfId="0" applyFont="1" applyFill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22" fillId="5" borderId="0" xfId="0" applyFont="1" applyFill="1" applyAlignment="1">
      <alignment vertical="center"/>
    </xf>
    <xf numFmtId="0" fontId="23" fillId="5" borderId="0" xfId="0" applyFont="1" applyFill="1" applyAlignment="1">
      <alignment vertical="center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8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 4" xfId="53"/>
    <cellStyle name="常规 5" xfId="54"/>
    <cellStyle name="常规 7" xfId="55"/>
  </cellStyles>
  <tableStyles count="0" defaultTableStyle="TableStyleMedium9"/>
  <colors>
    <mruColors>
      <color rgb="00CC00FF"/>
      <color rgb="00CCFFCC"/>
      <color rgb="00993366"/>
      <color rgb="00FF99CC"/>
    </mruColors>
  </colors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219075</xdr:colOff>
      <xdr:row>11</xdr:row>
      <xdr:rowOff>219075</xdr:rowOff>
    </xdr:from>
    <xdr:to>
      <xdr:col>1</xdr:col>
      <xdr:colOff>219075</xdr:colOff>
      <xdr:row>20</xdr:row>
      <xdr:rowOff>152400</xdr:rowOff>
    </xdr:to>
    <xdr:cxnSp>
      <xdr:nvCxnSpPr>
        <xdr:cNvPr id="2" name="直接箭头连接符 1"/>
        <xdr:cNvCxnSpPr/>
      </xdr:nvCxnSpPr>
      <xdr:spPr>
        <a:xfrm>
          <a:off x="904875" y="3009900"/>
          <a:ext cx="0" cy="1914525"/>
        </a:xfrm>
        <a:prstGeom prst="straightConnector1">
          <a:avLst/>
        </a:prstGeom>
        <a:ln>
          <a:tailEnd type="arrow" w="med" len="med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B1:O12"/>
  <sheetViews>
    <sheetView tabSelected="1" workbookViewId="0">
      <selection activeCell="L3" sqref="L3:M3"/>
    </sheetView>
  </sheetViews>
  <sheetFormatPr defaultColWidth="9" defaultRowHeight="17.25"/>
  <cols>
    <col min="1" max="16384" width="9" style="254"/>
  </cols>
  <sheetData>
    <row r="1" ht="46.5" spans="3:15">
      <c r="C1" s="255" t="s">
        <v>0</v>
      </c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3" spans="8:13">
      <c r="H3" s="257" t="s">
        <v>1</v>
      </c>
      <c r="I3" s="257"/>
      <c r="J3" s="257"/>
      <c r="L3" s="257" t="s">
        <v>2</v>
      </c>
      <c r="M3" s="257"/>
    </row>
    <row r="4" ht="18" spans="2:3">
      <c r="B4" s="258" t="s">
        <v>3</v>
      </c>
      <c r="C4" s="258"/>
    </row>
    <row r="6" spans="2:2">
      <c r="B6" s="254" t="s">
        <v>4</v>
      </c>
    </row>
    <row r="8" spans="2:2">
      <c r="B8" s="254" t="s">
        <v>5</v>
      </c>
    </row>
    <row r="10" spans="2:2">
      <c r="B10" s="254" t="s">
        <v>6</v>
      </c>
    </row>
    <row r="12" ht="18" spans="2:5">
      <c r="B12" s="259" t="s">
        <v>7</v>
      </c>
      <c r="E12" s="260"/>
    </row>
  </sheetData>
  <mergeCells count="4">
    <mergeCell ref="C1:O1"/>
    <mergeCell ref="H3:J3"/>
    <mergeCell ref="L3:M3"/>
    <mergeCell ref="B4:C4"/>
  </mergeCells>
  <pageMargins left="0.699305555555556" right="0.699305555555556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53"/>
  <sheetViews>
    <sheetView workbookViewId="0">
      <pane ySplit="3" topLeftCell="A4" activePane="bottomLeft" state="frozen"/>
      <selection/>
      <selection pane="bottomLeft" activeCell="A1" sqref="A1:B1"/>
    </sheetView>
  </sheetViews>
  <sheetFormatPr defaultColWidth="9" defaultRowHeight="17.25"/>
  <cols>
    <col min="1" max="1" width="11.625" style="197" customWidth="1"/>
    <col min="2" max="2" width="11.125" style="197" customWidth="1"/>
    <col min="3" max="3" width="3.625" style="197" customWidth="1"/>
    <col min="4" max="4" width="11.625" style="197" customWidth="1"/>
    <col min="5" max="5" width="11.125" style="197" customWidth="1"/>
    <col min="6" max="6" width="3.625" style="197" customWidth="1"/>
    <col min="7" max="7" width="11.625" style="197" customWidth="1"/>
    <col min="8" max="8" width="11.125" style="197" customWidth="1"/>
    <col min="9" max="9" width="3.625" style="197" customWidth="1"/>
    <col min="10" max="10" width="11.625" style="197" customWidth="1"/>
    <col min="11" max="11" width="11.125" style="197" customWidth="1"/>
    <col min="12" max="12" width="3.625" style="197" customWidth="1"/>
    <col min="13" max="13" width="11.625" style="197" customWidth="1"/>
    <col min="14" max="14" width="11.125" style="197" customWidth="1"/>
    <col min="15" max="15" width="3.625" style="197" customWidth="1"/>
    <col min="16" max="16" width="11.625" style="197" customWidth="1"/>
    <col min="17" max="17" width="11.125" style="197" customWidth="1"/>
    <col min="18" max="16384" width="9" style="197"/>
  </cols>
  <sheetData>
    <row r="1" ht="18" spans="1:17">
      <c r="A1" s="198" t="s">
        <v>8</v>
      </c>
      <c r="B1" s="198"/>
      <c r="D1" s="198" t="s">
        <v>9</v>
      </c>
      <c r="E1" s="198"/>
      <c r="G1" s="198" t="s">
        <v>10</v>
      </c>
      <c r="H1" s="198"/>
      <c r="J1" s="238" t="s">
        <v>11</v>
      </c>
      <c r="K1" s="238"/>
      <c r="M1" s="198" t="s">
        <v>12</v>
      </c>
      <c r="N1" s="198"/>
      <c r="P1" s="198" t="s">
        <v>13</v>
      </c>
      <c r="Q1" s="198"/>
    </row>
    <row r="2" ht="13.5" spans="1:17">
      <c r="A2" s="199" t="s">
        <v>14</v>
      </c>
      <c r="B2" s="200" t="s">
        <v>15</v>
      </c>
      <c r="D2" s="201" t="s">
        <v>14</v>
      </c>
      <c r="E2" s="200" t="s">
        <v>15</v>
      </c>
      <c r="G2" s="201" t="s">
        <v>14</v>
      </c>
      <c r="H2" s="200" t="s">
        <v>15</v>
      </c>
      <c r="J2" s="201" t="s">
        <v>14</v>
      </c>
      <c r="K2" s="200" t="s">
        <v>15</v>
      </c>
      <c r="M2" s="201" t="s">
        <v>14</v>
      </c>
      <c r="N2" s="200" t="s">
        <v>15</v>
      </c>
      <c r="P2" s="201" t="s">
        <v>14</v>
      </c>
      <c r="Q2" s="200" t="s">
        <v>15</v>
      </c>
    </row>
    <row r="3" spans="1:17">
      <c r="A3" s="202"/>
      <c r="B3" s="201" t="s">
        <v>16</v>
      </c>
      <c r="D3" s="201"/>
      <c r="E3" s="201" t="s">
        <v>16</v>
      </c>
      <c r="G3" s="201"/>
      <c r="H3" s="201" t="s">
        <v>16</v>
      </c>
      <c r="J3" s="201"/>
      <c r="K3" s="201" t="s">
        <v>16</v>
      </c>
      <c r="M3" s="201"/>
      <c r="N3" s="201" t="s">
        <v>16</v>
      </c>
      <c r="P3" s="201"/>
      <c r="Q3" s="201" t="s">
        <v>16</v>
      </c>
    </row>
    <row r="4" ht="18" spans="1:17">
      <c r="A4" s="203" t="s">
        <v>17</v>
      </c>
      <c r="B4" s="204">
        <v>0.0015</v>
      </c>
      <c r="D4" s="205" t="s">
        <v>18</v>
      </c>
      <c r="E4" s="206">
        <v>0.16</v>
      </c>
      <c r="G4" s="203" t="s">
        <v>19</v>
      </c>
      <c r="H4" s="204">
        <v>0.16</v>
      </c>
      <c r="J4" s="203" t="s">
        <v>20</v>
      </c>
      <c r="K4" s="204">
        <v>0.008</v>
      </c>
      <c r="M4" s="239" t="s">
        <v>21</v>
      </c>
      <c r="N4" s="240"/>
      <c r="P4" s="230" t="s">
        <v>22</v>
      </c>
      <c r="Q4" s="231"/>
    </row>
    <row r="5" ht="18" spans="1:17">
      <c r="A5" s="207" t="s">
        <v>23</v>
      </c>
      <c r="B5" s="208">
        <v>0.0025</v>
      </c>
      <c r="D5" s="209" t="s">
        <v>24</v>
      </c>
      <c r="E5" s="210">
        <v>0.16</v>
      </c>
      <c r="G5" s="207" t="s">
        <v>25</v>
      </c>
      <c r="H5" s="208">
        <v>0.38</v>
      </c>
      <c r="J5" s="207" t="s">
        <v>26</v>
      </c>
      <c r="K5" s="208">
        <v>0.085</v>
      </c>
      <c r="M5" s="241" t="s">
        <v>27</v>
      </c>
      <c r="N5" s="242">
        <f>N4*5</f>
        <v>0</v>
      </c>
      <c r="P5" s="243" t="s">
        <v>28</v>
      </c>
      <c r="Q5" s="233"/>
    </row>
    <row r="6" ht="18" spans="1:17">
      <c r="A6" s="207" t="s">
        <v>29</v>
      </c>
      <c r="B6" s="208">
        <v>0.005</v>
      </c>
      <c r="D6" s="211" t="s">
        <v>30</v>
      </c>
      <c r="E6" s="212">
        <v>0.003</v>
      </c>
      <c r="G6" s="207" t="s">
        <v>31</v>
      </c>
      <c r="H6" s="208">
        <v>5</v>
      </c>
      <c r="J6" s="207" t="s">
        <v>32</v>
      </c>
      <c r="K6" s="208">
        <v>0.16</v>
      </c>
      <c r="M6" s="244" t="s">
        <v>33</v>
      </c>
      <c r="N6" s="245"/>
      <c r="P6" s="243" t="s">
        <v>34</v>
      </c>
      <c r="Q6" s="233"/>
    </row>
    <row r="7" spans="1:17">
      <c r="A7" s="207" t="s">
        <v>35</v>
      </c>
      <c r="B7" s="208">
        <v>0.03</v>
      </c>
      <c r="D7" s="211" t="s">
        <v>36</v>
      </c>
      <c r="E7" s="212">
        <v>0.002</v>
      </c>
      <c r="G7" s="213" t="s">
        <v>37</v>
      </c>
      <c r="H7" s="214">
        <v>50</v>
      </c>
      <c r="J7" s="207" t="s">
        <v>38</v>
      </c>
      <c r="K7" s="208">
        <v>0.38</v>
      </c>
      <c r="M7" s="223" t="s">
        <v>39</v>
      </c>
      <c r="N7" s="234"/>
      <c r="P7" s="243" t="s">
        <v>40</v>
      </c>
      <c r="Q7" s="233"/>
    </row>
    <row r="8" spans="1:17">
      <c r="A8" s="207" t="s">
        <v>41</v>
      </c>
      <c r="B8" s="208">
        <v>1</v>
      </c>
      <c r="D8" s="211" t="s">
        <v>42</v>
      </c>
      <c r="E8" s="212">
        <v>0.16</v>
      </c>
      <c r="G8" s="203" t="s">
        <v>43</v>
      </c>
      <c r="H8" s="215"/>
      <c r="J8" s="213" t="s">
        <v>44</v>
      </c>
      <c r="K8" s="214">
        <v>5</v>
      </c>
      <c r="M8" s="241" t="s">
        <v>45</v>
      </c>
      <c r="N8" s="242"/>
      <c r="P8" s="246" t="s">
        <v>46</v>
      </c>
      <c r="Q8" s="250"/>
    </row>
    <row r="9" spans="1:17">
      <c r="A9" s="213" t="s">
        <v>47</v>
      </c>
      <c r="B9" s="214">
        <v>2</v>
      </c>
      <c r="D9" s="211" t="s">
        <v>48</v>
      </c>
      <c r="E9" s="212">
        <v>0.16</v>
      </c>
      <c r="G9" s="207" t="s">
        <v>49</v>
      </c>
      <c r="H9" s="216"/>
      <c r="J9" s="203" t="s">
        <v>50</v>
      </c>
      <c r="K9" s="204">
        <v>20</v>
      </c>
      <c r="M9" s="241" t="s">
        <v>51</v>
      </c>
      <c r="N9" s="242"/>
      <c r="P9" s="230" t="s">
        <v>52</v>
      </c>
      <c r="Q9" s="231"/>
    </row>
    <row r="10" spans="1:17">
      <c r="A10" s="203" t="s">
        <v>53</v>
      </c>
      <c r="B10" s="215"/>
      <c r="D10" s="211" t="s">
        <v>54</v>
      </c>
      <c r="E10" s="217">
        <v>0.0055</v>
      </c>
      <c r="G10" s="207" t="s">
        <v>55</v>
      </c>
      <c r="H10" s="216"/>
      <c r="J10" s="207" t="s">
        <v>56</v>
      </c>
      <c r="K10" s="208">
        <v>10</v>
      </c>
      <c r="M10" s="241" t="s">
        <v>57</v>
      </c>
      <c r="N10" s="242"/>
      <c r="P10" s="243" t="s">
        <v>58</v>
      </c>
      <c r="Q10" s="233"/>
    </row>
    <row r="11" spans="1:17">
      <c r="A11" s="207" t="s">
        <v>59</v>
      </c>
      <c r="B11" s="216"/>
      <c r="D11" s="211" t="s">
        <v>60</v>
      </c>
      <c r="E11" s="217">
        <v>0.0055</v>
      </c>
      <c r="G11" s="207" t="s">
        <v>61</v>
      </c>
      <c r="H11" s="216"/>
      <c r="J11" s="207" t="s">
        <v>62</v>
      </c>
      <c r="K11" s="208">
        <v>1.5</v>
      </c>
      <c r="M11" s="241" t="s">
        <v>63</v>
      </c>
      <c r="N11" s="242"/>
      <c r="P11" s="243" t="s">
        <v>64</v>
      </c>
      <c r="Q11" s="233"/>
    </row>
    <row r="12" spans="1:17">
      <c r="A12" s="207" t="s">
        <v>65</v>
      </c>
      <c r="B12" s="216"/>
      <c r="D12" s="211" t="s">
        <v>66</v>
      </c>
      <c r="E12" s="217">
        <v>0.005</v>
      </c>
      <c r="G12" s="207" t="s">
        <v>67</v>
      </c>
      <c r="H12" s="216"/>
      <c r="J12" s="207" t="s">
        <v>68</v>
      </c>
      <c r="K12" s="208">
        <v>1</v>
      </c>
      <c r="M12" s="241" t="s">
        <v>69</v>
      </c>
      <c r="N12" s="242"/>
      <c r="P12" s="246" t="s">
        <v>70</v>
      </c>
      <c r="Q12" s="250"/>
    </row>
    <row r="13" spans="1:17">
      <c r="A13" s="207" t="s">
        <v>71</v>
      </c>
      <c r="B13" s="216"/>
      <c r="D13" s="211" t="s">
        <v>72</v>
      </c>
      <c r="E13" s="217">
        <v>0.0025</v>
      </c>
      <c r="G13" s="207" t="s">
        <v>73</v>
      </c>
      <c r="H13" s="208"/>
      <c r="J13" s="213" t="s">
        <v>74</v>
      </c>
      <c r="K13" s="214">
        <v>0.5</v>
      </c>
      <c r="M13" s="241" t="s">
        <v>75</v>
      </c>
      <c r="N13" s="242"/>
      <c r="P13" s="230" t="s">
        <v>76</v>
      </c>
      <c r="Q13" s="231"/>
    </row>
    <row r="14" spans="1:17">
      <c r="A14" s="207" t="s">
        <v>77</v>
      </c>
      <c r="B14" s="216"/>
      <c r="D14" s="211" t="s">
        <v>78</v>
      </c>
      <c r="E14" s="212">
        <v>0.0015</v>
      </c>
      <c r="G14" s="207" t="s">
        <v>79</v>
      </c>
      <c r="H14" s="216"/>
      <c r="J14" s="203" t="s">
        <v>80</v>
      </c>
      <c r="K14" s="215"/>
      <c r="M14" s="241" t="s">
        <v>81</v>
      </c>
      <c r="N14" s="242"/>
      <c r="P14" s="243" t="s">
        <v>82</v>
      </c>
      <c r="Q14" s="251"/>
    </row>
    <row r="15" spans="1:17">
      <c r="A15" s="207" t="s">
        <v>83</v>
      </c>
      <c r="B15" s="216"/>
      <c r="D15" s="211" t="s">
        <v>84</v>
      </c>
      <c r="E15" s="212">
        <v>1</v>
      </c>
      <c r="G15" s="207" t="s">
        <v>85</v>
      </c>
      <c r="H15" s="216"/>
      <c r="J15" s="207" t="s">
        <v>86</v>
      </c>
      <c r="K15" s="216"/>
      <c r="M15" s="241" t="s">
        <v>87</v>
      </c>
      <c r="N15" s="242"/>
      <c r="P15" s="243" t="s">
        <v>88</v>
      </c>
      <c r="Q15" s="251"/>
    </row>
    <row r="16" ht="18" spans="1:17">
      <c r="A16" s="207" t="s">
        <v>89</v>
      </c>
      <c r="B16" s="216"/>
      <c r="D16" s="211" t="s">
        <v>90</v>
      </c>
      <c r="E16" s="212">
        <v>0.0025</v>
      </c>
      <c r="G16" s="207" t="s">
        <v>91</v>
      </c>
      <c r="H16" s="216"/>
      <c r="J16" s="207" t="s">
        <v>92</v>
      </c>
      <c r="K16" s="216"/>
      <c r="M16" s="244" t="s">
        <v>93</v>
      </c>
      <c r="N16" s="245"/>
      <c r="P16" s="243" t="s">
        <v>94</v>
      </c>
      <c r="Q16" s="251"/>
    </row>
    <row r="17" spans="1:17">
      <c r="A17" s="207" t="s">
        <v>95</v>
      </c>
      <c r="B17" s="216"/>
      <c r="D17" s="211" t="s">
        <v>96</v>
      </c>
      <c r="E17" s="212">
        <v>0.002</v>
      </c>
      <c r="G17" s="207" t="s">
        <v>97</v>
      </c>
      <c r="H17" s="216"/>
      <c r="J17" s="207" t="s">
        <v>98</v>
      </c>
      <c r="K17" s="216"/>
      <c r="M17" s="247" t="s">
        <v>99</v>
      </c>
      <c r="N17" s="240"/>
      <c r="P17" s="243" t="s">
        <v>100</v>
      </c>
      <c r="Q17" s="251"/>
    </row>
    <row r="18" spans="1:17">
      <c r="A18" s="207" t="s">
        <v>101</v>
      </c>
      <c r="B18" s="216"/>
      <c r="D18" s="218" t="s">
        <v>102</v>
      </c>
      <c r="E18" s="219">
        <v>0.0015</v>
      </c>
      <c r="G18" s="207" t="s">
        <v>103</v>
      </c>
      <c r="H18" s="216"/>
      <c r="J18" s="207" t="s">
        <v>104</v>
      </c>
      <c r="K18" s="208"/>
      <c r="M18" s="241" t="s">
        <v>105</v>
      </c>
      <c r="N18" s="248"/>
      <c r="P18" s="243" t="s">
        <v>106</v>
      </c>
      <c r="Q18" s="251"/>
    </row>
    <row r="19" spans="1:17">
      <c r="A19" s="207" t="s">
        <v>107</v>
      </c>
      <c r="B19" s="216"/>
      <c r="D19" s="203" t="s">
        <v>108</v>
      </c>
      <c r="E19" s="215">
        <v>20</v>
      </c>
      <c r="G19" s="213" t="s">
        <v>109</v>
      </c>
      <c r="H19" s="220"/>
      <c r="J19" s="207" t="s">
        <v>110</v>
      </c>
      <c r="K19" s="208"/>
      <c r="M19" s="241" t="s">
        <v>111</v>
      </c>
      <c r="N19" s="248"/>
      <c r="P19" s="243" t="s">
        <v>112</v>
      </c>
      <c r="Q19" s="233"/>
    </row>
    <row r="20" spans="1:17">
      <c r="A20" s="207" t="s">
        <v>113</v>
      </c>
      <c r="B20" s="216"/>
      <c r="D20" s="207" t="s">
        <v>114</v>
      </c>
      <c r="E20" s="216">
        <v>20</v>
      </c>
      <c r="G20" s="203" t="s">
        <v>115</v>
      </c>
      <c r="H20" s="215"/>
      <c r="J20" s="207" t="s">
        <v>116</v>
      </c>
      <c r="K20" s="208"/>
      <c r="M20" s="241" t="s">
        <v>117</v>
      </c>
      <c r="N20" s="248"/>
      <c r="P20" s="243" t="s">
        <v>118</v>
      </c>
      <c r="Q20" s="233"/>
    </row>
    <row r="21" spans="1:17">
      <c r="A21" s="207" t="s">
        <v>119</v>
      </c>
      <c r="B21" s="216"/>
      <c r="D21" s="207" t="s">
        <v>120</v>
      </c>
      <c r="E21" s="216">
        <v>20</v>
      </c>
      <c r="G21" s="207" t="s">
        <v>121</v>
      </c>
      <c r="H21" s="216"/>
      <c r="J21" s="207" t="s">
        <v>122</v>
      </c>
      <c r="K21" s="208"/>
      <c r="M21" s="241" t="s">
        <v>123</v>
      </c>
      <c r="N21" s="248"/>
      <c r="P21" s="246" t="s">
        <v>124</v>
      </c>
      <c r="Q21" s="252"/>
    </row>
    <row r="22" spans="1:17">
      <c r="A22" s="207" t="s">
        <v>125</v>
      </c>
      <c r="B22" s="216"/>
      <c r="D22" s="213" t="s">
        <v>126</v>
      </c>
      <c r="E22" s="220">
        <v>20</v>
      </c>
      <c r="G22" s="207" t="s">
        <v>127</v>
      </c>
      <c r="H22" s="208"/>
      <c r="J22" s="207" t="s">
        <v>128</v>
      </c>
      <c r="K22" s="208"/>
      <c r="M22" s="241" t="s">
        <v>129</v>
      </c>
      <c r="N22" s="248"/>
      <c r="Q22" s="237"/>
    </row>
    <row r="23" spans="1:17">
      <c r="A23" s="207" t="s">
        <v>130</v>
      </c>
      <c r="B23" s="216"/>
      <c r="D23" s="203" t="s">
        <v>131</v>
      </c>
      <c r="E23" s="215"/>
      <c r="G23" s="213" t="s">
        <v>132</v>
      </c>
      <c r="H23" s="214"/>
      <c r="J23" s="207" t="s">
        <v>133</v>
      </c>
      <c r="K23" s="208"/>
      <c r="M23" s="241" t="s">
        <v>134</v>
      </c>
      <c r="N23" s="242"/>
      <c r="Q23" s="237"/>
    </row>
    <row r="24" spans="1:17">
      <c r="A24" s="207" t="s">
        <v>135</v>
      </c>
      <c r="B24" s="216"/>
      <c r="D24" s="207" t="s">
        <v>136</v>
      </c>
      <c r="E24" s="216"/>
      <c r="G24" s="203" t="s">
        <v>137</v>
      </c>
      <c r="H24" s="204"/>
      <c r="J24" s="207" t="s">
        <v>138</v>
      </c>
      <c r="K24" s="208"/>
      <c r="M24" s="241" t="s">
        <v>139</v>
      </c>
      <c r="N24" s="242"/>
      <c r="Q24" s="237"/>
    </row>
    <row r="25" spans="1:17">
      <c r="A25" s="207" t="s">
        <v>140</v>
      </c>
      <c r="B25" s="208"/>
      <c r="D25" s="207" t="s">
        <v>141</v>
      </c>
      <c r="E25" s="216"/>
      <c r="G25" s="207" t="s">
        <v>142</v>
      </c>
      <c r="H25" s="208"/>
      <c r="J25" s="207" t="s">
        <v>143</v>
      </c>
      <c r="K25" s="208"/>
      <c r="M25" s="225" t="s">
        <v>144</v>
      </c>
      <c r="N25" s="227"/>
      <c r="Q25" s="237"/>
    </row>
    <row r="26" spans="1:17">
      <c r="A26" s="207" t="s">
        <v>145</v>
      </c>
      <c r="B26" s="208"/>
      <c r="D26" s="207" t="s">
        <v>146</v>
      </c>
      <c r="E26" s="216"/>
      <c r="G26" s="207" t="s">
        <v>147</v>
      </c>
      <c r="H26" s="208"/>
      <c r="J26" s="213" t="s">
        <v>148</v>
      </c>
      <c r="K26" s="220"/>
      <c r="M26" s="225" t="s">
        <v>149</v>
      </c>
      <c r="N26" s="227"/>
      <c r="Q26" s="237"/>
    </row>
    <row r="27" spans="1:17">
      <c r="A27" s="207" t="s">
        <v>150</v>
      </c>
      <c r="B27" s="208"/>
      <c r="D27" s="207" t="s">
        <v>151</v>
      </c>
      <c r="E27" s="216"/>
      <c r="G27" s="207" t="s">
        <v>152</v>
      </c>
      <c r="H27" s="208"/>
      <c r="J27" s="221" t="s">
        <v>153</v>
      </c>
      <c r="K27" s="235"/>
      <c r="M27" s="225" t="s">
        <v>154</v>
      </c>
      <c r="N27" s="227"/>
      <c r="Q27" s="237"/>
    </row>
    <row r="28" spans="1:17">
      <c r="A28" s="207" t="s">
        <v>155</v>
      </c>
      <c r="B28" s="208"/>
      <c r="D28" s="207" t="s">
        <v>156</v>
      </c>
      <c r="E28" s="208"/>
      <c r="G28" s="213" t="s">
        <v>157</v>
      </c>
      <c r="H28" s="220"/>
      <c r="J28" s="223" t="s">
        <v>158</v>
      </c>
      <c r="K28" s="224"/>
      <c r="M28" s="225" t="s">
        <v>159</v>
      </c>
      <c r="N28" s="227"/>
      <c r="Q28" s="237"/>
    </row>
    <row r="29" spans="1:17">
      <c r="A29" s="207" t="s">
        <v>160</v>
      </c>
      <c r="B29" s="208"/>
      <c r="D29" s="207" t="s">
        <v>161</v>
      </c>
      <c r="E29" s="208"/>
      <c r="G29" s="221" t="s">
        <v>162</v>
      </c>
      <c r="H29" s="222"/>
      <c r="J29" s="225" t="s">
        <v>163</v>
      </c>
      <c r="K29" s="226"/>
      <c r="M29" s="241" t="s">
        <v>164</v>
      </c>
      <c r="N29" s="242"/>
      <c r="Q29" s="237"/>
    </row>
    <row r="30" spans="1:17">
      <c r="A30" s="207" t="s">
        <v>165</v>
      </c>
      <c r="B30" s="208"/>
      <c r="D30" s="207" t="s">
        <v>166</v>
      </c>
      <c r="E30" s="208"/>
      <c r="G30" s="223" t="s">
        <v>167</v>
      </c>
      <c r="H30" s="224"/>
      <c r="J30" s="225" t="s">
        <v>168</v>
      </c>
      <c r="K30" s="226"/>
      <c r="M30" s="241" t="s">
        <v>169</v>
      </c>
      <c r="N30" s="242"/>
      <c r="Q30" s="237"/>
    </row>
    <row r="31" spans="1:17">
      <c r="A31" s="207" t="s">
        <v>170</v>
      </c>
      <c r="B31" s="208"/>
      <c r="D31" s="207" t="s">
        <v>171</v>
      </c>
      <c r="E31" s="208"/>
      <c r="G31" s="225" t="s">
        <v>172</v>
      </c>
      <c r="H31" s="226"/>
      <c r="J31" s="228" t="s">
        <v>173</v>
      </c>
      <c r="K31" s="229"/>
      <c r="M31" s="241" t="s">
        <v>174</v>
      </c>
      <c r="N31" s="242"/>
      <c r="Q31" s="237"/>
    </row>
    <row r="32" spans="1:17">
      <c r="A32" s="207" t="s">
        <v>175</v>
      </c>
      <c r="B32" s="208"/>
      <c r="D32" s="207" t="s">
        <v>176</v>
      </c>
      <c r="E32" s="208"/>
      <c r="G32" s="225" t="s">
        <v>177</v>
      </c>
      <c r="H32" s="227"/>
      <c r="M32" s="249" t="s">
        <v>178</v>
      </c>
      <c r="N32" s="245"/>
      <c r="Q32" s="237"/>
    </row>
    <row r="33" spans="1:17">
      <c r="A33" s="207" t="s">
        <v>179</v>
      </c>
      <c r="B33" s="208"/>
      <c r="D33" s="207" t="s">
        <v>180</v>
      </c>
      <c r="E33" s="208"/>
      <c r="G33" s="228" t="s">
        <v>181</v>
      </c>
      <c r="H33" s="229"/>
      <c r="Q33" s="237"/>
    </row>
    <row r="34" spans="1:17">
      <c r="A34" s="207" t="s">
        <v>182</v>
      </c>
      <c r="B34" s="208"/>
      <c r="D34" s="207" t="s">
        <v>183</v>
      </c>
      <c r="E34" s="208"/>
      <c r="Q34" s="237"/>
    </row>
    <row r="35" spans="1:17">
      <c r="A35" s="207" t="s">
        <v>184</v>
      </c>
      <c r="B35" s="208"/>
      <c r="D35" s="207" t="s">
        <v>185</v>
      </c>
      <c r="E35" s="208"/>
      <c r="Q35" s="253"/>
    </row>
    <row r="36" spans="1:17">
      <c r="A36" s="230" t="s">
        <v>186</v>
      </c>
      <c r="B36" s="231"/>
      <c r="D36" s="207" t="s">
        <v>187</v>
      </c>
      <c r="E36" s="208"/>
      <c r="Q36" s="237"/>
    </row>
    <row r="37" spans="1:17">
      <c r="A37" s="232" t="s">
        <v>188</v>
      </c>
      <c r="B37" s="233"/>
      <c r="D37" s="207" t="s">
        <v>189</v>
      </c>
      <c r="E37" s="216"/>
      <c r="Q37" s="237"/>
    </row>
    <row r="38" spans="1:17">
      <c r="A38" s="223" t="s">
        <v>190</v>
      </c>
      <c r="B38" s="234"/>
      <c r="D38" s="207" t="s">
        <v>191</v>
      </c>
      <c r="E38" s="208"/>
      <c r="Q38" s="237"/>
    </row>
    <row r="39" spans="1:17">
      <c r="A39" s="225" t="s">
        <v>192</v>
      </c>
      <c r="B39" s="226"/>
      <c r="D39" s="207" t="s">
        <v>193</v>
      </c>
      <c r="E39" s="208"/>
      <c r="Q39" s="237"/>
    </row>
    <row r="40" spans="1:17">
      <c r="A40" s="225" t="s">
        <v>194</v>
      </c>
      <c r="B40" s="226"/>
      <c r="D40" s="213" t="s">
        <v>195</v>
      </c>
      <c r="E40" s="220"/>
      <c r="Q40" s="237"/>
    </row>
    <row r="41" spans="1:17">
      <c r="A41" s="225" t="s">
        <v>196</v>
      </c>
      <c r="B41" s="226"/>
      <c r="D41" s="221" t="s">
        <v>197</v>
      </c>
      <c r="E41" s="235"/>
      <c r="Q41" s="237"/>
    </row>
    <row r="42" spans="1:17">
      <c r="A42" s="228" t="s">
        <v>198</v>
      </c>
      <c r="B42" s="236"/>
      <c r="D42" s="223" t="s">
        <v>199</v>
      </c>
      <c r="E42" s="234"/>
      <c r="Q42" s="237"/>
    </row>
    <row r="43" spans="2:5">
      <c r="B43" s="237"/>
      <c r="D43" s="225" t="s">
        <v>200</v>
      </c>
      <c r="E43" s="227"/>
    </row>
    <row r="44" spans="2:5">
      <c r="B44" s="237"/>
      <c r="D44" s="225" t="s">
        <v>201</v>
      </c>
      <c r="E44" s="227"/>
    </row>
    <row r="45" spans="4:5">
      <c r="D45" s="228" t="s">
        <v>202</v>
      </c>
      <c r="E45" s="229"/>
    </row>
    <row r="48" spans="17:17">
      <c r="Q48" s="237"/>
    </row>
    <row r="50" spans="17:17">
      <c r="Q50" s="237"/>
    </row>
    <row r="51" spans="17:17">
      <c r="Q51" s="237"/>
    </row>
    <row r="52" spans="17:17">
      <c r="Q52" s="237"/>
    </row>
    <row r="53" spans="17:17">
      <c r="Q53" s="237"/>
    </row>
  </sheetData>
  <sheetProtection selectLockedCells="1"/>
  <mergeCells count="12">
    <mergeCell ref="A1:B1"/>
    <mergeCell ref="D1:E1"/>
    <mergeCell ref="G1:H1"/>
    <mergeCell ref="J1:K1"/>
    <mergeCell ref="M1:N1"/>
    <mergeCell ref="P1:Q1"/>
    <mergeCell ref="A2:A3"/>
    <mergeCell ref="D2:D3"/>
    <mergeCell ref="G2:G3"/>
    <mergeCell ref="J2:J3"/>
    <mergeCell ref="M2:M3"/>
    <mergeCell ref="P2:P3"/>
  </mergeCells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S78"/>
  <sheetViews>
    <sheetView workbookViewId="0">
      <pane xSplit="1" topLeftCell="B1" activePane="topRight" state="frozen"/>
      <selection/>
      <selection pane="topRight" activeCell="A1" sqref="A1:E1"/>
    </sheetView>
  </sheetViews>
  <sheetFormatPr defaultColWidth="9" defaultRowHeight="17.25"/>
  <cols>
    <col min="1" max="1" width="19.625" style="182" customWidth="1"/>
    <col min="2" max="2" width="7.625" style="72" customWidth="1"/>
    <col min="3" max="4" width="4.625" style="72" customWidth="1"/>
    <col min="5" max="5" width="21.625" style="72" customWidth="1"/>
    <col min="6" max="6" width="9.625" style="72" customWidth="1"/>
    <col min="7" max="7" width="9.625" style="183" customWidth="1"/>
    <col min="8" max="8" width="9.625" style="72" customWidth="1"/>
    <col min="9" max="9" width="10.625" style="72" customWidth="1"/>
    <col min="10" max="10" width="14.625" style="72" customWidth="1"/>
    <col min="11" max="11" width="4.625" style="72" customWidth="1"/>
    <col min="12" max="12" width="10.625" style="72" customWidth="1"/>
    <col min="13" max="13" width="4.625" style="72" customWidth="1"/>
    <col min="14" max="14" width="10.625" style="72" customWidth="1"/>
    <col min="15" max="15" width="4.625" style="72" customWidth="1"/>
    <col min="16" max="16" width="10.625" style="72" customWidth="1"/>
    <col min="17" max="17" width="4.625" style="72" customWidth="1"/>
    <col min="18" max="18" width="10.625" style="72" customWidth="1"/>
    <col min="19" max="19" width="4.625" style="72" customWidth="1"/>
    <col min="20" max="16384" width="9" style="72"/>
  </cols>
  <sheetData>
    <row r="1" ht="49.5" spans="1:19">
      <c r="A1" s="76" t="s">
        <v>203</v>
      </c>
      <c r="B1" s="77"/>
      <c r="C1" s="77"/>
      <c r="D1" s="77"/>
      <c r="E1" s="78"/>
      <c r="F1" s="79" t="s">
        <v>204</v>
      </c>
      <c r="G1" s="80" t="s">
        <v>205</v>
      </c>
      <c r="H1" s="81" t="s">
        <v>206</v>
      </c>
      <c r="I1" s="81"/>
      <c r="J1" s="81" t="s">
        <v>203</v>
      </c>
      <c r="K1" s="81"/>
      <c r="L1" s="81"/>
      <c r="M1" s="81"/>
      <c r="N1" s="81"/>
      <c r="O1" s="81"/>
      <c r="P1" s="81"/>
      <c r="Q1" s="81"/>
      <c r="R1" s="81"/>
      <c r="S1" s="81"/>
    </row>
    <row r="2" spans="1:19">
      <c r="A2" s="184" t="s">
        <v>14</v>
      </c>
      <c r="B2" s="152" t="s">
        <v>207</v>
      </c>
      <c r="C2" s="72" t="s">
        <v>208</v>
      </c>
      <c r="D2" s="72" t="s">
        <v>209</v>
      </c>
      <c r="E2" s="72" t="s">
        <v>210</v>
      </c>
      <c r="F2" s="159" t="s">
        <v>211</v>
      </c>
      <c r="G2" s="183" t="s">
        <v>212</v>
      </c>
      <c r="H2" s="152" t="s">
        <v>213</v>
      </c>
      <c r="I2" s="72" t="s">
        <v>214</v>
      </c>
      <c r="J2" s="153" t="s">
        <v>215</v>
      </c>
      <c r="K2" s="155" t="s">
        <v>208</v>
      </c>
      <c r="L2" s="72" t="s">
        <v>216</v>
      </c>
      <c r="M2" s="72" t="s">
        <v>208</v>
      </c>
      <c r="N2" s="153" t="s">
        <v>217</v>
      </c>
      <c r="O2" s="155" t="s">
        <v>208</v>
      </c>
      <c r="P2" s="72" t="s">
        <v>218</v>
      </c>
      <c r="Q2" s="72" t="s">
        <v>208</v>
      </c>
      <c r="R2" s="153" t="s">
        <v>219</v>
      </c>
      <c r="S2" s="155" t="s">
        <v>208</v>
      </c>
    </row>
    <row r="3" spans="1:19">
      <c r="A3" s="185" t="s">
        <v>220</v>
      </c>
      <c r="B3" s="152" t="s">
        <v>221</v>
      </c>
      <c r="C3" s="154">
        <v>1</v>
      </c>
      <c r="D3" s="154">
        <v>61</v>
      </c>
      <c r="E3" s="154" t="s">
        <v>222</v>
      </c>
      <c r="F3" s="152">
        <f>F62+材料价格!K28+材料价格!N6+材料价格!K8</f>
        <v>5</v>
      </c>
      <c r="G3" s="186"/>
      <c r="H3" s="152">
        <f t="shared" ref="H3:H34" si="0">G3-F3</f>
        <v>-5</v>
      </c>
      <c r="I3" s="154">
        <f>ROUND(H3/D3,1)</f>
        <v>-0.1</v>
      </c>
      <c r="J3" s="153" t="s">
        <v>223</v>
      </c>
      <c r="K3" s="155">
        <v>1</v>
      </c>
      <c r="L3" s="154" t="s">
        <v>158</v>
      </c>
      <c r="M3" s="154">
        <v>1</v>
      </c>
      <c r="N3" s="153" t="s">
        <v>33</v>
      </c>
      <c r="O3" s="155">
        <v>1</v>
      </c>
      <c r="P3" s="154" t="s">
        <v>44</v>
      </c>
      <c r="Q3" s="154">
        <v>1</v>
      </c>
      <c r="R3" s="153"/>
      <c r="S3" s="155"/>
    </row>
    <row r="4" spans="1:19">
      <c r="A4" s="187" t="s">
        <v>224</v>
      </c>
      <c r="B4" s="159" t="s">
        <v>221</v>
      </c>
      <c r="C4" s="72">
        <v>1</v>
      </c>
      <c r="D4" s="72">
        <v>61</v>
      </c>
      <c r="E4" s="72" t="s">
        <v>225</v>
      </c>
      <c r="F4" s="159">
        <f>F62+材料价格!K28+材料价格!K31+材料价格!K8</f>
        <v>5</v>
      </c>
      <c r="H4" s="159">
        <f t="shared" si="0"/>
        <v>-5</v>
      </c>
      <c r="I4" s="72">
        <f t="shared" ref="I4:I7" si="1">ROUND(H4/D4,1)</f>
        <v>-0.1</v>
      </c>
      <c r="J4" s="160" t="s">
        <v>223</v>
      </c>
      <c r="K4" s="161">
        <v>1</v>
      </c>
      <c r="L4" s="72" t="s">
        <v>173</v>
      </c>
      <c r="M4" s="72">
        <v>1</v>
      </c>
      <c r="N4" s="160" t="s">
        <v>33</v>
      </c>
      <c r="O4" s="161">
        <v>1</v>
      </c>
      <c r="P4" s="72" t="s">
        <v>44</v>
      </c>
      <c r="Q4" s="72">
        <v>1</v>
      </c>
      <c r="R4" s="160"/>
      <c r="S4" s="161"/>
    </row>
    <row r="5" spans="1:19">
      <c r="A5" s="188" t="s">
        <v>226</v>
      </c>
      <c r="B5" s="164" t="s">
        <v>221</v>
      </c>
      <c r="C5" s="166">
        <v>1</v>
      </c>
      <c r="D5" s="166">
        <v>61</v>
      </c>
      <c r="E5" s="166" t="s">
        <v>227</v>
      </c>
      <c r="F5" s="164">
        <f>F62+材料价格!K28+材料价格!K29+材料价格!K8</f>
        <v>5</v>
      </c>
      <c r="G5" s="189"/>
      <c r="H5" s="164">
        <f t="shared" si="0"/>
        <v>-5</v>
      </c>
      <c r="I5" s="166">
        <f t="shared" si="1"/>
        <v>-0.1</v>
      </c>
      <c r="J5" s="165" t="s">
        <v>223</v>
      </c>
      <c r="K5" s="167">
        <v>1</v>
      </c>
      <c r="L5" s="166" t="s">
        <v>163</v>
      </c>
      <c r="M5" s="166">
        <v>1</v>
      </c>
      <c r="N5" s="165" t="s">
        <v>33</v>
      </c>
      <c r="O5" s="167">
        <v>1</v>
      </c>
      <c r="P5" s="166" t="s">
        <v>44</v>
      </c>
      <c r="Q5" s="166">
        <v>1</v>
      </c>
      <c r="R5" s="165"/>
      <c r="S5" s="167"/>
    </row>
    <row r="6" spans="1:19">
      <c r="A6" s="185" t="s">
        <v>228</v>
      </c>
      <c r="B6" s="152" t="s">
        <v>221</v>
      </c>
      <c r="C6" s="154">
        <v>1</v>
      </c>
      <c r="D6" s="154">
        <v>15</v>
      </c>
      <c r="E6" s="154" t="s">
        <v>229</v>
      </c>
      <c r="F6" s="152">
        <f>材料价格!K25*20+材料价格!K26*20+材料价格!N27*2+材料价格!K27*10+材料价格!K8*4</f>
        <v>20</v>
      </c>
      <c r="G6" s="186"/>
      <c r="H6" s="152">
        <f t="shared" si="0"/>
        <v>-20</v>
      </c>
      <c r="I6" s="154">
        <f t="shared" si="1"/>
        <v>-1.3</v>
      </c>
      <c r="J6" s="153" t="s">
        <v>143</v>
      </c>
      <c r="K6" s="155">
        <v>20</v>
      </c>
      <c r="L6" s="154" t="s">
        <v>148</v>
      </c>
      <c r="M6" s="154">
        <v>20</v>
      </c>
      <c r="N6" s="153" t="s">
        <v>154</v>
      </c>
      <c r="O6" s="155">
        <v>2</v>
      </c>
      <c r="P6" s="154" t="s">
        <v>153</v>
      </c>
      <c r="Q6" s="154">
        <v>10</v>
      </c>
      <c r="R6" s="153" t="s">
        <v>44</v>
      </c>
      <c r="S6" s="155">
        <v>4</v>
      </c>
    </row>
    <row r="7" spans="1:19">
      <c r="A7" s="187" t="s">
        <v>230</v>
      </c>
      <c r="B7" s="159" t="s">
        <v>221</v>
      </c>
      <c r="C7" s="72">
        <v>1</v>
      </c>
      <c r="D7" s="72">
        <v>30</v>
      </c>
      <c r="E7" s="72" t="s">
        <v>231</v>
      </c>
      <c r="F7" s="159">
        <f>F6*3+材料价格!N25*2+材料价格!N31*2+材料价格!K8*4</f>
        <v>80</v>
      </c>
      <c r="H7" s="159">
        <f t="shared" si="0"/>
        <v>-80</v>
      </c>
      <c r="I7" s="72">
        <f t="shared" si="1"/>
        <v>-2.7</v>
      </c>
      <c r="J7" s="160" t="s">
        <v>232</v>
      </c>
      <c r="K7" s="161">
        <v>3</v>
      </c>
      <c r="L7" s="72" t="s">
        <v>144</v>
      </c>
      <c r="M7" s="72">
        <v>2</v>
      </c>
      <c r="N7" s="160" t="s">
        <v>174</v>
      </c>
      <c r="O7" s="161">
        <v>2</v>
      </c>
      <c r="P7" s="72" t="s">
        <v>44</v>
      </c>
      <c r="Q7" s="72">
        <v>4</v>
      </c>
      <c r="R7" s="160"/>
      <c r="S7" s="161"/>
    </row>
    <row r="8" spans="1:19">
      <c r="A8" s="187" t="s">
        <v>233</v>
      </c>
      <c r="B8" s="159" t="s">
        <v>221</v>
      </c>
      <c r="C8" s="72">
        <v>1</v>
      </c>
      <c r="D8" s="72">
        <v>15</v>
      </c>
      <c r="E8" s="72" t="s">
        <v>234</v>
      </c>
      <c r="F8" s="159">
        <f>材料价格!K25*20+材料价格!K26*20+材料价格!N26*2+材料价格!K27*10+材料价格!K8*4</f>
        <v>20</v>
      </c>
      <c r="H8" s="159">
        <f t="shared" si="0"/>
        <v>-20</v>
      </c>
      <c r="I8" s="72">
        <f t="shared" ref="I8:I16" si="2">ROUND(H8/D8,1)</f>
        <v>-1.3</v>
      </c>
      <c r="J8" s="160" t="s">
        <v>143</v>
      </c>
      <c r="K8" s="161">
        <v>20</v>
      </c>
      <c r="L8" s="72" t="s">
        <v>148</v>
      </c>
      <c r="M8" s="72">
        <v>20</v>
      </c>
      <c r="N8" s="160" t="s">
        <v>149</v>
      </c>
      <c r="O8" s="161">
        <v>2</v>
      </c>
      <c r="P8" s="72" t="s">
        <v>153</v>
      </c>
      <c r="Q8" s="72">
        <v>10</v>
      </c>
      <c r="R8" s="160" t="s">
        <v>44</v>
      </c>
      <c r="S8" s="161">
        <v>4</v>
      </c>
    </row>
    <row r="9" spans="1:19">
      <c r="A9" s="187" t="s">
        <v>235</v>
      </c>
      <c r="B9" s="159" t="s">
        <v>221</v>
      </c>
      <c r="C9" s="72">
        <v>1</v>
      </c>
      <c r="D9" s="72">
        <v>30</v>
      </c>
      <c r="E9" s="72" t="s">
        <v>236</v>
      </c>
      <c r="F9" s="159">
        <f>F8*3+材料价格!N28*2+材料价格!N30*2+材料价格!K8*4</f>
        <v>80</v>
      </c>
      <c r="H9" s="159">
        <f t="shared" si="0"/>
        <v>-80</v>
      </c>
      <c r="I9" s="72">
        <f t="shared" si="2"/>
        <v>-2.7</v>
      </c>
      <c r="J9" s="160" t="s">
        <v>237</v>
      </c>
      <c r="K9" s="161">
        <v>3</v>
      </c>
      <c r="L9" s="72" t="s">
        <v>159</v>
      </c>
      <c r="M9" s="72">
        <v>2</v>
      </c>
      <c r="N9" s="160" t="s">
        <v>169</v>
      </c>
      <c r="O9" s="161">
        <v>2</v>
      </c>
      <c r="P9" s="72" t="s">
        <v>44</v>
      </c>
      <c r="Q9" s="72">
        <v>4</v>
      </c>
      <c r="R9" s="160"/>
      <c r="S9" s="161"/>
    </row>
    <row r="10" spans="1:19">
      <c r="A10" s="187" t="s">
        <v>238</v>
      </c>
      <c r="B10" s="159" t="s">
        <v>221</v>
      </c>
      <c r="C10" s="72">
        <v>1</v>
      </c>
      <c r="D10" s="72">
        <v>15</v>
      </c>
      <c r="E10" s="72" t="s">
        <v>239</v>
      </c>
      <c r="F10" s="159">
        <f>材料价格!K25*20+材料价格!K26*20+材料价格!N25*2+材料价格!K27*10+材料价格!K8*4</f>
        <v>20</v>
      </c>
      <c r="H10" s="159">
        <f t="shared" si="0"/>
        <v>-20</v>
      </c>
      <c r="I10" s="72">
        <f t="shared" si="2"/>
        <v>-1.3</v>
      </c>
      <c r="J10" s="160" t="s">
        <v>143</v>
      </c>
      <c r="K10" s="161">
        <v>20</v>
      </c>
      <c r="L10" s="72" t="s">
        <v>148</v>
      </c>
      <c r="M10" s="72">
        <v>20</v>
      </c>
      <c r="N10" s="160" t="s">
        <v>144</v>
      </c>
      <c r="O10" s="161">
        <v>2</v>
      </c>
      <c r="P10" s="72" t="s">
        <v>153</v>
      </c>
      <c r="Q10" s="72">
        <v>10</v>
      </c>
      <c r="R10" s="160" t="s">
        <v>44</v>
      </c>
      <c r="S10" s="161">
        <v>4</v>
      </c>
    </row>
    <row r="11" spans="1:19">
      <c r="A11" s="187" t="s">
        <v>240</v>
      </c>
      <c r="B11" s="159" t="s">
        <v>221</v>
      </c>
      <c r="C11" s="72">
        <v>1</v>
      </c>
      <c r="D11" s="72">
        <v>30</v>
      </c>
      <c r="E11" s="72" t="s">
        <v>241</v>
      </c>
      <c r="F11" s="159">
        <f>F10*3+材料价格!N27*2+材料价格!N29*2+材料价格!K8*4</f>
        <v>80</v>
      </c>
      <c r="H11" s="159">
        <f t="shared" si="0"/>
        <v>-80</v>
      </c>
      <c r="I11" s="72">
        <f t="shared" si="2"/>
        <v>-2.7</v>
      </c>
      <c r="J11" s="160" t="s">
        <v>242</v>
      </c>
      <c r="K11" s="161">
        <v>3</v>
      </c>
      <c r="L11" s="72" t="s">
        <v>154</v>
      </c>
      <c r="M11" s="72">
        <v>2</v>
      </c>
      <c r="N11" s="160" t="s">
        <v>164</v>
      </c>
      <c r="O11" s="161">
        <v>2</v>
      </c>
      <c r="P11" s="72" t="s">
        <v>44</v>
      </c>
      <c r="Q11" s="72">
        <v>4</v>
      </c>
      <c r="R11" s="160"/>
      <c r="S11" s="161"/>
    </row>
    <row r="12" spans="1:19">
      <c r="A12" s="187" t="s">
        <v>243</v>
      </c>
      <c r="B12" s="159" t="s">
        <v>221</v>
      </c>
      <c r="C12" s="72">
        <v>1</v>
      </c>
      <c r="D12" s="72">
        <v>15</v>
      </c>
      <c r="E12" s="72" t="s">
        <v>244</v>
      </c>
      <c r="F12" s="159">
        <f>材料价格!K25*20+材料价格!K26*20+材料价格!N28*2+材料价格!K27*10+材料价格!K8*4</f>
        <v>20</v>
      </c>
      <c r="H12" s="159">
        <f t="shared" si="0"/>
        <v>-20</v>
      </c>
      <c r="I12" s="72">
        <f t="shared" si="2"/>
        <v>-1.3</v>
      </c>
      <c r="J12" s="160" t="s">
        <v>143</v>
      </c>
      <c r="K12" s="161">
        <v>20</v>
      </c>
      <c r="L12" s="72" t="s">
        <v>148</v>
      </c>
      <c r="M12" s="72">
        <v>20</v>
      </c>
      <c r="N12" s="160" t="s">
        <v>159</v>
      </c>
      <c r="O12" s="161">
        <v>2</v>
      </c>
      <c r="P12" s="72" t="s">
        <v>153</v>
      </c>
      <c r="Q12" s="72">
        <v>10</v>
      </c>
      <c r="R12" s="160" t="s">
        <v>44</v>
      </c>
      <c r="S12" s="161">
        <v>4</v>
      </c>
    </row>
    <row r="13" spans="1:19">
      <c r="A13" s="187" t="s">
        <v>245</v>
      </c>
      <c r="B13" s="159" t="s">
        <v>221</v>
      </c>
      <c r="C13" s="72">
        <v>1</v>
      </c>
      <c r="D13" s="72">
        <v>30</v>
      </c>
      <c r="E13" s="72" t="s">
        <v>246</v>
      </c>
      <c r="F13" s="159">
        <f>F12*3+材料价格!N26*2+材料价格!N32*2+材料价格!K8*4</f>
        <v>80</v>
      </c>
      <c r="H13" s="159">
        <f t="shared" si="0"/>
        <v>-80</v>
      </c>
      <c r="I13" s="72">
        <f t="shared" si="2"/>
        <v>-2.7</v>
      </c>
      <c r="J13" s="160" t="s">
        <v>247</v>
      </c>
      <c r="K13" s="161">
        <v>3</v>
      </c>
      <c r="L13" s="72" t="s">
        <v>149</v>
      </c>
      <c r="M13" s="72">
        <v>2</v>
      </c>
      <c r="N13" s="160" t="s">
        <v>178</v>
      </c>
      <c r="O13" s="161">
        <v>2</v>
      </c>
      <c r="P13" s="72" t="s">
        <v>44</v>
      </c>
      <c r="Q13" s="72">
        <v>4</v>
      </c>
      <c r="R13" s="160"/>
      <c r="S13" s="161"/>
    </row>
    <row r="14" spans="1:19">
      <c r="A14" s="187" t="s">
        <v>248</v>
      </c>
      <c r="B14" s="159" t="s">
        <v>221</v>
      </c>
      <c r="C14" s="72">
        <v>1</v>
      </c>
      <c r="D14" s="72">
        <v>15</v>
      </c>
      <c r="E14" s="72" t="s">
        <v>249</v>
      </c>
      <c r="F14" s="159">
        <f>材料价格!K25*20+材料价格!K26*20+材料价格!N26*2+材料价格!K27*10+材料价格!K8*4</f>
        <v>20</v>
      </c>
      <c r="H14" s="159">
        <f t="shared" si="0"/>
        <v>-20</v>
      </c>
      <c r="I14" s="72">
        <f t="shared" si="2"/>
        <v>-1.3</v>
      </c>
      <c r="J14" s="160" t="s">
        <v>143</v>
      </c>
      <c r="K14" s="161">
        <v>20</v>
      </c>
      <c r="L14" s="72" t="s">
        <v>148</v>
      </c>
      <c r="M14" s="72">
        <v>20</v>
      </c>
      <c r="N14" s="160" t="s">
        <v>149</v>
      </c>
      <c r="O14" s="161">
        <v>2</v>
      </c>
      <c r="P14" s="72" t="s">
        <v>153</v>
      </c>
      <c r="Q14" s="72">
        <v>10</v>
      </c>
      <c r="R14" s="160" t="s">
        <v>44</v>
      </c>
      <c r="S14" s="161">
        <v>4</v>
      </c>
    </row>
    <row r="15" spans="1:19">
      <c r="A15" s="187" t="s">
        <v>250</v>
      </c>
      <c r="B15" s="159" t="s">
        <v>221</v>
      </c>
      <c r="C15" s="72">
        <v>1</v>
      </c>
      <c r="D15" s="72">
        <v>30</v>
      </c>
      <c r="E15" s="72" t="s">
        <v>251</v>
      </c>
      <c r="F15" s="159">
        <f>F14*3+材料价格!N28*2+材料价格!N30*2+材料价格!K8*4</f>
        <v>80</v>
      </c>
      <c r="H15" s="159">
        <f t="shared" si="0"/>
        <v>-80</v>
      </c>
      <c r="I15" s="72">
        <f t="shared" si="2"/>
        <v>-2.7</v>
      </c>
      <c r="J15" s="160" t="s">
        <v>252</v>
      </c>
      <c r="K15" s="161">
        <v>3</v>
      </c>
      <c r="L15" s="72" t="s">
        <v>159</v>
      </c>
      <c r="M15" s="72">
        <v>2</v>
      </c>
      <c r="N15" s="160" t="s">
        <v>169</v>
      </c>
      <c r="O15" s="161">
        <v>2</v>
      </c>
      <c r="P15" s="72" t="s">
        <v>44</v>
      </c>
      <c r="Q15" s="72">
        <v>4</v>
      </c>
      <c r="R15" s="160"/>
      <c r="S15" s="161"/>
    </row>
    <row r="16" spans="1:19">
      <c r="A16" s="187" t="s">
        <v>253</v>
      </c>
      <c r="B16" s="159" t="s">
        <v>221</v>
      </c>
      <c r="C16" s="72">
        <v>1</v>
      </c>
      <c r="D16" s="72">
        <v>15</v>
      </c>
      <c r="E16" s="72" t="s">
        <v>254</v>
      </c>
      <c r="F16" s="159">
        <f>材料价格!K25*20+材料价格!K26*20+材料价格!N25*2+材料价格!K27*10+材料价格!K8*4</f>
        <v>20</v>
      </c>
      <c r="H16" s="159">
        <f t="shared" si="0"/>
        <v>-20</v>
      </c>
      <c r="I16" s="72">
        <f t="shared" si="2"/>
        <v>-1.3</v>
      </c>
      <c r="J16" s="160" t="s">
        <v>143</v>
      </c>
      <c r="K16" s="161">
        <v>20</v>
      </c>
      <c r="L16" s="72" t="s">
        <v>148</v>
      </c>
      <c r="M16" s="72">
        <v>20</v>
      </c>
      <c r="N16" s="160" t="s">
        <v>144</v>
      </c>
      <c r="O16" s="161">
        <v>2</v>
      </c>
      <c r="P16" s="72" t="s">
        <v>153</v>
      </c>
      <c r="Q16" s="72">
        <v>10</v>
      </c>
      <c r="R16" s="160" t="s">
        <v>44</v>
      </c>
      <c r="S16" s="161">
        <v>4</v>
      </c>
    </row>
    <row r="17" spans="1:19">
      <c r="A17" s="188" t="s">
        <v>255</v>
      </c>
      <c r="B17" s="164" t="s">
        <v>221</v>
      </c>
      <c r="C17" s="166">
        <v>1</v>
      </c>
      <c r="D17" s="166">
        <v>30</v>
      </c>
      <c r="E17" s="166" t="s">
        <v>256</v>
      </c>
      <c r="F17" s="164">
        <f>F16*3+材料价格!N27*2+材料价格!N29*2+材料价格!K8*4</f>
        <v>80</v>
      </c>
      <c r="G17" s="189"/>
      <c r="H17" s="164">
        <f t="shared" si="0"/>
        <v>-80</v>
      </c>
      <c r="I17" s="166">
        <f t="shared" ref="I17:I22" si="3">ROUND(H17/D17,1)</f>
        <v>-2.7</v>
      </c>
      <c r="J17" s="165" t="s">
        <v>257</v>
      </c>
      <c r="K17" s="167">
        <v>3</v>
      </c>
      <c r="L17" s="166" t="s">
        <v>154</v>
      </c>
      <c r="M17" s="166">
        <v>2</v>
      </c>
      <c r="N17" s="165" t="s">
        <v>164</v>
      </c>
      <c r="O17" s="167">
        <v>2</v>
      </c>
      <c r="P17" s="166" t="s">
        <v>44</v>
      </c>
      <c r="Q17" s="166">
        <v>4</v>
      </c>
      <c r="R17" s="165"/>
      <c r="S17" s="167"/>
    </row>
    <row r="18" spans="1:19">
      <c r="A18" s="185" t="s">
        <v>258</v>
      </c>
      <c r="B18" s="152" t="s">
        <v>221</v>
      </c>
      <c r="C18" s="154">
        <v>1</v>
      </c>
      <c r="D18" s="154">
        <v>61</v>
      </c>
      <c r="E18" s="154" t="s">
        <v>259</v>
      </c>
      <c r="F18" s="152">
        <f>F62+材料价格!K28+材料价格!K29+材料价格!K8</f>
        <v>5</v>
      </c>
      <c r="G18" s="186"/>
      <c r="H18" s="152">
        <f t="shared" si="0"/>
        <v>-5</v>
      </c>
      <c r="I18" s="154">
        <f t="shared" si="3"/>
        <v>-0.1</v>
      </c>
      <c r="J18" s="153" t="s">
        <v>223</v>
      </c>
      <c r="K18" s="155">
        <v>1</v>
      </c>
      <c r="L18" s="154" t="s">
        <v>163</v>
      </c>
      <c r="M18" s="154">
        <v>1</v>
      </c>
      <c r="N18" s="153" t="s">
        <v>33</v>
      </c>
      <c r="O18" s="155">
        <v>1</v>
      </c>
      <c r="P18" s="154" t="s">
        <v>44</v>
      </c>
      <c r="Q18" s="154">
        <v>1</v>
      </c>
      <c r="R18" s="153"/>
      <c r="S18" s="155"/>
    </row>
    <row r="19" spans="1:19">
      <c r="A19" s="187" t="s">
        <v>260</v>
      </c>
      <c r="B19" s="159" t="s">
        <v>221</v>
      </c>
      <c r="C19" s="72">
        <v>1</v>
      </c>
      <c r="D19" s="72">
        <v>61</v>
      </c>
      <c r="E19" s="72" t="s">
        <v>261</v>
      </c>
      <c r="F19" s="159">
        <f>F62+材料价格!K28+材料价格!N6+材料价格!K8</f>
        <v>5</v>
      </c>
      <c r="H19" s="159">
        <f t="shared" si="0"/>
        <v>-5</v>
      </c>
      <c r="I19" s="72">
        <f t="shared" si="3"/>
        <v>-0.1</v>
      </c>
      <c r="J19" s="160" t="s">
        <v>223</v>
      </c>
      <c r="K19" s="161">
        <v>1</v>
      </c>
      <c r="L19" s="72" t="s">
        <v>158</v>
      </c>
      <c r="M19" s="72">
        <v>1</v>
      </c>
      <c r="N19" s="160" t="s">
        <v>33</v>
      </c>
      <c r="O19" s="161">
        <v>1</v>
      </c>
      <c r="P19" s="72" t="s">
        <v>44</v>
      </c>
      <c r="Q19" s="72">
        <v>1</v>
      </c>
      <c r="R19" s="160"/>
      <c r="S19" s="161"/>
    </row>
    <row r="20" spans="1:19">
      <c r="A20" s="188" t="s">
        <v>262</v>
      </c>
      <c r="B20" s="164" t="s">
        <v>221</v>
      </c>
      <c r="C20" s="166">
        <v>1</v>
      </c>
      <c r="D20" s="166">
        <v>61</v>
      </c>
      <c r="E20" s="166" t="s">
        <v>263</v>
      </c>
      <c r="F20" s="164">
        <f>F62+材料价格!K28+材料价格!K30+材料价格!K8</f>
        <v>5</v>
      </c>
      <c r="G20" s="189"/>
      <c r="H20" s="164">
        <f t="shared" si="0"/>
        <v>-5</v>
      </c>
      <c r="I20" s="166">
        <f t="shared" si="3"/>
        <v>-0.1</v>
      </c>
      <c r="J20" s="165" t="s">
        <v>223</v>
      </c>
      <c r="K20" s="167">
        <v>1</v>
      </c>
      <c r="L20" s="166" t="s">
        <v>168</v>
      </c>
      <c r="M20" s="166">
        <v>1</v>
      </c>
      <c r="N20" s="165" t="s">
        <v>33</v>
      </c>
      <c r="O20" s="167">
        <v>1</v>
      </c>
      <c r="P20" s="166" t="s">
        <v>44</v>
      </c>
      <c r="Q20" s="166">
        <v>1</v>
      </c>
      <c r="R20" s="165"/>
      <c r="S20" s="167"/>
    </row>
    <row r="21" spans="1:19">
      <c r="A21" s="185" t="s">
        <v>264</v>
      </c>
      <c r="B21" s="152" t="s">
        <v>221</v>
      </c>
      <c r="C21" s="154">
        <v>1</v>
      </c>
      <c r="D21" s="154">
        <v>15</v>
      </c>
      <c r="E21" s="154" t="s">
        <v>265</v>
      </c>
      <c r="F21" s="152">
        <f>材料价格!K25*20+材料价格!K26*20+材料价格!N26*2+材料价格!K27*10+材料价格!K8*4</f>
        <v>20</v>
      </c>
      <c r="G21" s="186"/>
      <c r="H21" s="152">
        <f t="shared" si="0"/>
        <v>-20</v>
      </c>
      <c r="I21" s="154">
        <f t="shared" si="3"/>
        <v>-1.3</v>
      </c>
      <c r="J21" s="153" t="s">
        <v>143</v>
      </c>
      <c r="K21" s="155">
        <v>20</v>
      </c>
      <c r="L21" s="154" t="s">
        <v>148</v>
      </c>
      <c r="M21" s="154">
        <v>20</v>
      </c>
      <c r="N21" s="153" t="s">
        <v>149</v>
      </c>
      <c r="O21" s="155">
        <v>2</v>
      </c>
      <c r="P21" s="154" t="s">
        <v>153</v>
      </c>
      <c r="Q21" s="154">
        <v>10</v>
      </c>
      <c r="R21" s="153" t="s">
        <v>44</v>
      </c>
      <c r="S21" s="155">
        <v>4</v>
      </c>
    </row>
    <row r="22" spans="1:19">
      <c r="A22" s="187" t="s">
        <v>266</v>
      </c>
      <c r="B22" s="159" t="s">
        <v>221</v>
      </c>
      <c r="C22" s="72">
        <v>1</v>
      </c>
      <c r="D22" s="72">
        <v>30</v>
      </c>
      <c r="E22" s="72" t="s">
        <v>267</v>
      </c>
      <c r="F22" s="159">
        <f>F21*3+材料价格!N28*2+材料价格!N30*2+材料价格!K8*4</f>
        <v>80</v>
      </c>
      <c r="H22" s="159">
        <f t="shared" si="0"/>
        <v>-80</v>
      </c>
      <c r="I22" s="72">
        <f t="shared" si="3"/>
        <v>-2.7</v>
      </c>
      <c r="J22" s="160" t="s">
        <v>268</v>
      </c>
      <c r="K22" s="161">
        <v>3</v>
      </c>
      <c r="L22" s="72" t="s">
        <v>159</v>
      </c>
      <c r="M22" s="72">
        <v>2</v>
      </c>
      <c r="N22" s="160" t="s">
        <v>169</v>
      </c>
      <c r="O22" s="161">
        <v>2</v>
      </c>
      <c r="P22" s="72" t="s">
        <v>44</v>
      </c>
      <c r="Q22" s="72">
        <v>4</v>
      </c>
      <c r="R22" s="160"/>
      <c r="S22" s="161"/>
    </row>
    <row r="23" spans="1:19">
      <c r="A23" s="187" t="s">
        <v>269</v>
      </c>
      <c r="B23" s="159" t="s">
        <v>221</v>
      </c>
      <c r="C23" s="72">
        <v>1</v>
      </c>
      <c r="D23" s="72">
        <v>15</v>
      </c>
      <c r="E23" s="72" t="s">
        <v>270</v>
      </c>
      <c r="F23" s="159">
        <f>材料价格!K25*20+材料价格!K26*20+材料价格!N25*2+材料价格!K27*10+材料价格!K8*4</f>
        <v>20</v>
      </c>
      <c r="H23" s="159">
        <f t="shared" si="0"/>
        <v>-20</v>
      </c>
      <c r="I23" s="72">
        <f t="shared" ref="I23:I34" si="4">ROUND(H23/D23,1)</f>
        <v>-1.3</v>
      </c>
      <c r="J23" s="160" t="s">
        <v>143</v>
      </c>
      <c r="K23" s="161">
        <v>20</v>
      </c>
      <c r="L23" s="72" t="s">
        <v>148</v>
      </c>
      <c r="M23" s="72">
        <v>20</v>
      </c>
      <c r="N23" s="160" t="s">
        <v>144</v>
      </c>
      <c r="O23" s="161">
        <v>2</v>
      </c>
      <c r="P23" s="72" t="s">
        <v>153</v>
      </c>
      <c r="Q23" s="72">
        <v>10</v>
      </c>
      <c r="R23" s="160" t="s">
        <v>44</v>
      </c>
      <c r="S23" s="161">
        <v>4</v>
      </c>
    </row>
    <row r="24" spans="1:19">
      <c r="A24" s="187" t="s">
        <v>271</v>
      </c>
      <c r="B24" s="159" t="s">
        <v>221</v>
      </c>
      <c r="C24" s="72">
        <v>1</v>
      </c>
      <c r="D24" s="72">
        <v>30</v>
      </c>
      <c r="E24" s="72" t="s">
        <v>272</v>
      </c>
      <c r="F24" s="159">
        <f>F23*3+材料价格!N27*2+材料价格!N29*2+材料价格!K8*4</f>
        <v>80</v>
      </c>
      <c r="H24" s="159">
        <f t="shared" si="0"/>
        <v>-80</v>
      </c>
      <c r="I24" s="72">
        <f t="shared" si="4"/>
        <v>-2.7</v>
      </c>
      <c r="J24" s="160" t="s">
        <v>273</v>
      </c>
      <c r="K24" s="161">
        <v>3</v>
      </c>
      <c r="L24" s="72" t="s">
        <v>154</v>
      </c>
      <c r="M24" s="72">
        <v>2</v>
      </c>
      <c r="N24" s="160" t="s">
        <v>164</v>
      </c>
      <c r="O24" s="161">
        <v>2</v>
      </c>
      <c r="P24" s="72" t="s">
        <v>44</v>
      </c>
      <c r="Q24" s="72">
        <v>4</v>
      </c>
      <c r="R24" s="160"/>
      <c r="S24" s="161"/>
    </row>
    <row r="25" spans="1:19">
      <c r="A25" s="187" t="s">
        <v>274</v>
      </c>
      <c r="B25" s="159" t="s">
        <v>221</v>
      </c>
      <c r="C25" s="72">
        <v>1</v>
      </c>
      <c r="D25" s="72">
        <v>15</v>
      </c>
      <c r="E25" s="72" t="s">
        <v>275</v>
      </c>
      <c r="F25" s="159">
        <f>材料价格!K25*20+材料价格!K26*20+材料价格!N28*2+材料价格!K27*10+材料价格!K8*4</f>
        <v>20</v>
      </c>
      <c r="H25" s="159">
        <f t="shared" si="0"/>
        <v>-20</v>
      </c>
      <c r="I25" s="72">
        <f t="shared" si="4"/>
        <v>-1.3</v>
      </c>
      <c r="J25" s="160" t="s">
        <v>143</v>
      </c>
      <c r="K25" s="161">
        <v>20</v>
      </c>
      <c r="L25" s="72" t="s">
        <v>148</v>
      </c>
      <c r="M25" s="72">
        <v>20</v>
      </c>
      <c r="N25" s="160" t="s">
        <v>159</v>
      </c>
      <c r="O25" s="161">
        <v>2</v>
      </c>
      <c r="P25" s="72" t="s">
        <v>153</v>
      </c>
      <c r="Q25" s="72">
        <v>10</v>
      </c>
      <c r="R25" s="160" t="s">
        <v>44</v>
      </c>
      <c r="S25" s="161">
        <v>4</v>
      </c>
    </row>
    <row r="26" spans="1:19">
      <c r="A26" s="187" t="s">
        <v>276</v>
      </c>
      <c r="B26" s="159" t="s">
        <v>221</v>
      </c>
      <c r="C26" s="72">
        <v>1</v>
      </c>
      <c r="D26" s="72">
        <v>30</v>
      </c>
      <c r="E26" s="72" t="s">
        <v>277</v>
      </c>
      <c r="F26" s="159">
        <f>F25*3+材料价格!N26*2+材料价格!N32*2+材料价格!K8*4</f>
        <v>80</v>
      </c>
      <c r="H26" s="159">
        <f t="shared" si="0"/>
        <v>-80</v>
      </c>
      <c r="I26" s="72">
        <f t="shared" si="4"/>
        <v>-2.7</v>
      </c>
      <c r="J26" s="160" t="s">
        <v>278</v>
      </c>
      <c r="K26" s="161">
        <v>3</v>
      </c>
      <c r="L26" s="72" t="s">
        <v>149</v>
      </c>
      <c r="M26" s="72">
        <v>2</v>
      </c>
      <c r="N26" s="160" t="s">
        <v>178</v>
      </c>
      <c r="O26" s="161">
        <v>2</v>
      </c>
      <c r="P26" s="72" t="s">
        <v>44</v>
      </c>
      <c r="Q26" s="72">
        <v>4</v>
      </c>
      <c r="R26" s="160"/>
      <c r="S26" s="161"/>
    </row>
    <row r="27" spans="1:19">
      <c r="A27" s="187" t="s">
        <v>279</v>
      </c>
      <c r="B27" s="159" t="s">
        <v>221</v>
      </c>
      <c r="C27" s="72">
        <v>1</v>
      </c>
      <c r="D27" s="72">
        <v>15</v>
      </c>
      <c r="E27" s="72" t="s">
        <v>280</v>
      </c>
      <c r="F27" s="159">
        <f>材料价格!K25*20+材料价格!K26*20+材料价格!N27*2+材料价格!K27*10+材料价格!K8*4</f>
        <v>20</v>
      </c>
      <c r="H27" s="159">
        <f t="shared" si="0"/>
        <v>-20</v>
      </c>
      <c r="I27" s="72">
        <f t="shared" si="4"/>
        <v>-1.3</v>
      </c>
      <c r="J27" s="160" t="s">
        <v>143</v>
      </c>
      <c r="K27" s="161">
        <v>20</v>
      </c>
      <c r="L27" s="72" t="s">
        <v>148</v>
      </c>
      <c r="M27" s="72">
        <v>20</v>
      </c>
      <c r="N27" s="160" t="s">
        <v>154</v>
      </c>
      <c r="O27" s="161">
        <v>2</v>
      </c>
      <c r="P27" s="72" t="s">
        <v>153</v>
      </c>
      <c r="Q27" s="72">
        <v>10</v>
      </c>
      <c r="R27" s="160" t="s">
        <v>44</v>
      </c>
      <c r="S27" s="161">
        <v>4</v>
      </c>
    </row>
    <row r="28" spans="1:19">
      <c r="A28" s="187" t="s">
        <v>281</v>
      </c>
      <c r="B28" s="159" t="s">
        <v>221</v>
      </c>
      <c r="C28" s="72">
        <v>1</v>
      </c>
      <c r="D28" s="72">
        <v>30</v>
      </c>
      <c r="E28" s="72" t="s">
        <v>282</v>
      </c>
      <c r="F28" s="159">
        <f>F27*3+材料价格!N25*2+材料价格!N31*2+材料价格!K8*4</f>
        <v>80</v>
      </c>
      <c r="H28" s="159">
        <f t="shared" si="0"/>
        <v>-80</v>
      </c>
      <c r="I28" s="72">
        <f t="shared" si="4"/>
        <v>-2.7</v>
      </c>
      <c r="J28" s="160" t="s">
        <v>283</v>
      </c>
      <c r="K28" s="161">
        <v>3</v>
      </c>
      <c r="L28" s="72" t="s">
        <v>144</v>
      </c>
      <c r="M28" s="72">
        <v>2</v>
      </c>
      <c r="N28" s="160" t="s">
        <v>174</v>
      </c>
      <c r="O28" s="161">
        <v>2</v>
      </c>
      <c r="P28" s="72" t="s">
        <v>44</v>
      </c>
      <c r="Q28" s="72">
        <v>4</v>
      </c>
      <c r="R28" s="160"/>
      <c r="S28" s="161"/>
    </row>
    <row r="29" spans="1:19">
      <c r="A29" s="187" t="s">
        <v>284</v>
      </c>
      <c r="B29" s="159" t="s">
        <v>221</v>
      </c>
      <c r="C29" s="72">
        <v>1</v>
      </c>
      <c r="D29" s="72">
        <v>15</v>
      </c>
      <c r="E29" s="72" t="s">
        <v>285</v>
      </c>
      <c r="F29" s="159">
        <f>材料价格!K25*20+材料价格!K26*20+材料价格!N25*2+材料价格!K27*10+材料价格!K8*4</f>
        <v>20</v>
      </c>
      <c r="H29" s="159">
        <f t="shared" si="0"/>
        <v>-20</v>
      </c>
      <c r="I29" s="72">
        <f t="shared" si="4"/>
        <v>-1.3</v>
      </c>
      <c r="J29" s="160" t="s">
        <v>143</v>
      </c>
      <c r="K29" s="161">
        <v>20</v>
      </c>
      <c r="L29" s="72" t="s">
        <v>148</v>
      </c>
      <c r="M29" s="72">
        <v>20</v>
      </c>
      <c r="N29" s="160" t="s">
        <v>144</v>
      </c>
      <c r="O29" s="161">
        <v>2</v>
      </c>
      <c r="P29" s="72" t="s">
        <v>153</v>
      </c>
      <c r="Q29" s="72">
        <v>10</v>
      </c>
      <c r="R29" s="160" t="s">
        <v>44</v>
      </c>
      <c r="S29" s="161">
        <v>4</v>
      </c>
    </row>
    <row r="30" spans="1:19">
      <c r="A30" s="187" t="s">
        <v>286</v>
      </c>
      <c r="B30" s="159" t="s">
        <v>221</v>
      </c>
      <c r="C30" s="72">
        <v>1</v>
      </c>
      <c r="D30" s="72">
        <v>30</v>
      </c>
      <c r="E30" s="72" t="s">
        <v>287</v>
      </c>
      <c r="F30" s="159">
        <f>F29*3+材料价格!N27*2+材料价格!N29*2+材料价格!K8*4</f>
        <v>80</v>
      </c>
      <c r="H30" s="159">
        <f t="shared" si="0"/>
        <v>-80</v>
      </c>
      <c r="I30" s="72">
        <f t="shared" si="4"/>
        <v>-2.7</v>
      </c>
      <c r="J30" s="160" t="s">
        <v>288</v>
      </c>
      <c r="K30" s="161">
        <v>3</v>
      </c>
      <c r="L30" s="72" t="s">
        <v>154</v>
      </c>
      <c r="M30" s="72">
        <v>2</v>
      </c>
      <c r="N30" s="160" t="s">
        <v>164</v>
      </c>
      <c r="O30" s="161">
        <v>2</v>
      </c>
      <c r="P30" s="72" t="s">
        <v>44</v>
      </c>
      <c r="Q30" s="72">
        <v>4</v>
      </c>
      <c r="R30" s="160"/>
      <c r="S30" s="161"/>
    </row>
    <row r="31" spans="1:19">
      <c r="A31" s="187" t="s">
        <v>289</v>
      </c>
      <c r="B31" s="159" t="s">
        <v>221</v>
      </c>
      <c r="C31" s="72">
        <v>1</v>
      </c>
      <c r="D31" s="72">
        <v>15</v>
      </c>
      <c r="E31" s="72" t="s">
        <v>290</v>
      </c>
      <c r="F31" s="159">
        <f>材料价格!K25*20+材料价格!K26*20+材料价格!N28*2+材料价格!K27*10+材料价格!K8*4</f>
        <v>20</v>
      </c>
      <c r="H31" s="159">
        <f t="shared" si="0"/>
        <v>-20</v>
      </c>
      <c r="I31" s="72">
        <f t="shared" si="4"/>
        <v>-1.3</v>
      </c>
      <c r="J31" s="160" t="s">
        <v>143</v>
      </c>
      <c r="K31" s="161">
        <v>20</v>
      </c>
      <c r="L31" s="72" t="s">
        <v>148</v>
      </c>
      <c r="M31" s="72">
        <v>20</v>
      </c>
      <c r="N31" s="160" t="s">
        <v>159</v>
      </c>
      <c r="O31" s="161">
        <v>2</v>
      </c>
      <c r="P31" s="72" t="s">
        <v>153</v>
      </c>
      <c r="Q31" s="72">
        <v>10</v>
      </c>
      <c r="R31" s="160" t="s">
        <v>44</v>
      </c>
      <c r="S31" s="161">
        <v>4</v>
      </c>
    </row>
    <row r="32" spans="1:19">
      <c r="A32" s="188" t="s">
        <v>291</v>
      </c>
      <c r="B32" s="164" t="s">
        <v>221</v>
      </c>
      <c r="C32" s="166">
        <v>1</v>
      </c>
      <c r="D32" s="166">
        <v>30</v>
      </c>
      <c r="E32" s="166" t="s">
        <v>292</v>
      </c>
      <c r="F32" s="164">
        <f>F31*3+材料价格!N26*2+材料价格!N32*2+材料价格!K8*4</f>
        <v>80</v>
      </c>
      <c r="G32" s="189"/>
      <c r="H32" s="164">
        <f t="shared" si="0"/>
        <v>-80</v>
      </c>
      <c r="I32" s="166">
        <f t="shared" si="4"/>
        <v>-2.7</v>
      </c>
      <c r="J32" s="165" t="s">
        <v>293</v>
      </c>
      <c r="K32" s="167">
        <v>3</v>
      </c>
      <c r="L32" s="166" t="s">
        <v>149</v>
      </c>
      <c r="M32" s="166">
        <v>2</v>
      </c>
      <c r="N32" s="165" t="s">
        <v>178</v>
      </c>
      <c r="O32" s="167">
        <v>2</v>
      </c>
      <c r="P32" s="166" t="s">
        <v>44</v>
      </c>
      <c r="Q32" s="166">
        <v>4</v>
      </c>
      <c r="R32" s="165"/>
      <c r="S32" s="167"/>
    </row>
    <row r="33" spans="1:19">
      <c r="A33" s="185" t="s">
        <v>294</v>
      </c>
      <c r="B33" s="152" t="s">
        <v>221</v>
      </c>
      <c r="C33" s="154">
        <v>1</v>
      </c>
      <c r="D33" s="154">
        <v>7</v>
      </c>
      <c r="E33" s="154" t="s">
        <v>295</v>
      </c>
      <c r="F33" s="152">
        <f>材料价格!K20*3+材料价格!K19*2+材料价格!Q4+材料价格!Q5+材料价格!K7</f>
        <v>0.38</v>
      </c>
      <c r="G33" s="186"/>
      <c r="H33" s="152">
        <f t="shared" si="0"/>
        <v>-0.38</v>
      </c>
      <c r="I33" s="154">
        <f t="shared" si="4"/>
        <v>-0.1</v>
      </c>
      <c r="J33" s="153" t="s">
        <v>116</v>
      </c>
      <c r="K33" s="155">
        <v>3</v>
      </c>
      <c r="L33" s="154" t="s">
        <v>110</v>
      </c>
      <c r="M33" s="154">
        <v>2</v>
      </c>
      <c r="N33" s="153" t="s">
        <v>28</v>
      </c>
      <c r="O33" s="155">
        <v>1</v>
      </c>
      <c r="P33" s="154" t="s">
        <v>22</v>
      </c>
      <c r="Q33" s="154">
        <v>1</v>
      </c>
      <c r="R33" s="153" t="s">
        <v>38</v>
      </c>
      <c r="S33" s="155">
        <v>1</v>
      </c>
    </row>
    <row r="34" spans="1:19">
      <c r="A34" s="187" t="s">
        <v>296</v>
      </c>
      <c r="B34" s="159" t="s">
        <v>221</v>
      </c>
      <c r="C34" s="72">
        <v>1</v>
      </c>
      <c r="D34" s="72">
        <v>61</v>
      </c>
      <c r="E34" s="72" t="s">
        <v>297</v>
      </c>
      <c r="F34" s="159">
        <f>F60*10+材料价格!N17*2+材料价格!Q7*10+材料价格!N4*4</f>
        <v>0</v>
      </c>
      <c r="H34" s="159">
        <f t="shared" si="0"/>
        <v>0</v>
      </c>
      <c r="I34" s="72">
        <f t="shared" si="4"/>
        <v>0</v>
      </c>
      <c r="J34" s="160" t="s">
        <v>298</v>
      </c>
      <c r="K34" s="161">
        <v>10</v>
      </c>
      <c r="L34" s="72" t="s">
        <v>99</v>
      </c>
      <c r="M34" s="72">
        <v>2</v>
      </c>
      <c r="N34" s="160" t="s">
        <v>40</v>
      </c>
      <c r="O34" s="161">
        <v>10</v>
      </c>
      <c r="P34" s="72" t="s">
        <v>21</v>
      </c>
      <c r="Q34" s="72">
        <v>4</v>
      </c>
      <c r="R34" s="160"/>
      <c r="S34" s="161"/>
    </row>
    <row r="35" spans="1:19">
      <c r="A35" s="187" t="s">
        <v>299</v>
      </c>
      <c r="B35" s="159" t="s">
        <v>221</v>
      </c>
      <c r="C35" s="72">
        <v>1</v>
      </c>
      <c r="D35" s="72">
        <v>61</v>
      </c>
      <c r="E35" s="72" t="s">
        <v>300</v>
      </c>
      <c r="F35" s="159">
        <f>F59*10+材料价格!N17*2+材料价格!N4*20+材料价格!K8*5</f>
        <v>25</v>
      </c>
      <c r="H35" s="159">
        <f t="shared" ref="H35:H71" si="5">G35-F35</f>
        <v>-25</v>
      </c>
      <c r="I35" s="72">
        <f t="shared" ref="I35:I41" si="6">ROUND(H35/D35,1)</f>
        <v>-0.4</v>
      </c>
      <c r="J35" s="160" t="s">
        <v>301</v>
      </c>
      <c r="K35" s="161">
        <v>10</v>
      </c>
      <c r="L35" s="72" t="s">
        <v>99</v>
      </c>
      <c r="M35" s="72">
        <v>2</v>
      </c>
      <c r="N35" s="160" t="s">
        <v>21</v>
      </c>
      <c r="O35" s="161">
        <v>20</v>
      </c>
      <c r="P35" s="72" t="s">
        <v>44</v>
      </c>
      <c r="Q35" s="72">
        <v>5</v>
      </c>
      <c r="R35" s="160"/>
      <c r="S35" s="161"/>
    </row>
    <row r="36" spans="1:19">
      <c r="A36" s="187" t="s">
        <v>302</v>
      </c>
      <c r="B36" s="159" t="s">
        <v>221</v>
      </c>
      <c r="C36" s="72">
        <v>1</v>
      </c>
      <c r="D36" s="72">
        <v>61</v>
      </c>
      <c r="E36" s="72" t="s">
        <v>303</v>
      </c>
      <c r="F36" s="159">
        <f>F59*10+F70*2+材料价格!N4*20+材料价格!K8*5</f>
        <v>25</v>
      </c>
      <c r="H36" s="159">
        <f t="shared" si="5"/>
        <v>-25</v>
      </c>
      <c r="I36" s="72">
        <f t="shared" si="6"/>
        <v>-0.4</v>
      </c>
      <c r="J36" s="160" t="s">
        <v>301</v>
      </c>
      <c r="K36" s="161">
        <v>10</v>
      </c>
      <c r="L36" s="72" t="s">
        <v>99</v>
      </c>
      <c r="M36" s="72">
        <v>2</v>
      </c>
      <c r="N36" s="160" t="s">
        <v>21</v>
      </c>
      <c r="O36" s="161">
        <v>20</v>
      </c>
      <c r="P36" s="72" t="s">
        <v>44</v>
      </c>
      <c r="Q36" s="72">
        <v>5</v>
      </c>
      <c r="R36" s="160"/>
      <c r="S36" s="161"/>
    </row>
    <row r="37" spans="1:19">
      <c r="A37" s="187" t="s">
        <v>304</v>
      </c>
      <c r="B37" s="159" t="s">
        <v>221</v>
      </c>
      <c r="C37" s="72">
        <v>1</v>
      </c>
      <c r="D37" s="72">
        <v>61</v>
      </c>
      <c r="E37" s="72" t="s">
        <v>305</v>
      </c>
      <c r="F37" s="159">
        <f>F60*10+材料价格!N18*2+材料价格!N4*20+材料价格!K8*5</f>
        <v>25</v>
      </c>
      <c r="H37" s="159">
        <f t="shared" si="5"/>
        <v>-25</v>
      </c>
      <c r="I37" s="72">
        <f t="shared" si="6"/>
        <v>-0.4</v>
      </c>
      <c r="J37" s="160" t="s">
        <v>298</v>
      </c>
      <c r="K37" s="161">
        <v>10</v>
      </c>
      <c r="L37" s="72" t="s">
        <v>105</v>
      </c>
      <c r="M37" s="72">
        <v>2</v>
      </c>
      <c r="N37" s="160" t="s">
        <v>21</v>
      </c>
      <c r="O37" s="161">
        <v>20</v>
      </c>
      <c r="P37" s="72" t="s">
        <v>44</v>
      </c>
      <c r="Q37" s="72">
        <v>5</v>
      </c>
      <c r="R37" s="160"/>
      <c r="S37" s="161"/>
    </row>
    <row r="38" spans="1:19">
      <c r="A38" s="187" t="s">
        <v>306</v>
      </c>
      <c r="B38" s="159" t="s">
        <v>221</v>
      </c>
      <c r="C38" s="72">
        <v>1</v>
      </c>
      <c r="D38" s="72">
        <v>25</v>
      </c>
      <c r="E38" s="72" t="s">
        <v>307</v>
      </c>
      <c r="F38" s="159">
        <f>F33*4+材料价格!K31+材料价格!Q5*5+材料价格!K7*5</f>
        <v>3.42</v>
      </c>
      <c r="H38" s="159">
        <f t="shared" si="5"/>
        <v>-3.42</v>
      </c>
      <c r="I38" s="72">
        <f t="shared" si="6"/>
        <v>-0.1</v>
      </c>
      <c r="J38" s="160" t="s">
        <v>294</v>
      </c>
      <c r="K38" s="161">
        <v>4</v>
      </c>
      <c r="L38" s="72" t="s">
        <v>173</v>
      </c>
      <c r="M38" s="72">
        <v>1</v>
      </c>
      <c r="N38" s="160" t="s">
        <v>28</v>
      </c>
      <c r="O38" s="161">
        <v>5</v>
      </c>
      <c r="P38" s="72" t="s">
        <v>38</v>
      </c>
      <c r="Q38" s="72">
        <v>5</v>
      </c>
      <c r="R38" s="160"/>
      <c r="S38" s="161"/>
    </row>
    <row r="39" spans="1:19">
      <c r="A39" s="188" t="s">
        <v>308</v>
      </c>
      <c r="B39" s="164" t="s">
        <v>221</v>
      </c>
      <c r="C39" s="166">
        <v>1</v>
      </c>
      <c r="D39" s="166">
        <v>25</v>
      </c>
      <c r="E39" s="166" t="s">
        <v>309</v>
      </c>
      <c r="F39" s="164">
        <f>F33*4+材料价格!E44+材料价格!Q4*5+材料价格!K7*5</f>
        <v>3.42</v>
      </c>
      <c r="G39" s="189"/>
      <c r="H39" s="164">
        <f t="shared" si="5"/>
        <v>-3.42</v>
      </c>
      <c r="I39" s="166">
        <f t="shared" si="6"/>
        <v>-0.1</v>
      </c>
      <c r="J39" s="165" t="s">
        <v>294</v>
      </c>
      <c r="K39" s="167">
        <v>4</v>
      </c>
      <c r="L39" s="166" t="s">
        <v>201</v>
      </c>
      <c r="M39" s="166">
        <v>1</v>
      </c>
      <c r="N39" s="165" t="s">
        <v>22</v>
      </c>
      <c r="O39" s="167">
        <v>5</v>
      </c>
      <c r="P39" s="166" t="s">
        <v>38</v>
      </c>
      <c r="Q39" s="166">
        <v>5</v>
      </c>
      <c r="R39" s="165"/>
      <c r="S39" s="167"/>
    </row>
    <row r="40" spans="1:19">
      <c r="A40" s="185" t="s">
        <v>310</v>
      </c>
      <c r="B40" s="152" t="s">
        <v>221</v>
      </c>
      <c r="C40" s="154">
        <v>1</v>
      </c>
      <c r="D40" s="154">
        <v>15</v>
      </c>
      <c r="E40" s="154" t="s">
        <v>311</v>
      </c>
      <c r="F40" s="152">
        <f>材料价格!K25*20+材料价格!K26*20+材料价格!N25*2+材料价格!K27*10+材料价格!K8*4</f>
        <v>20</v>
      </c>
      <c r="G40" s="186"/>
      <c r="H40" s="152">
        <f t="shared" si="5"/>
        <v>-20</v>
      </c>
      <c r="I40" s="154">
        <f t="shared" si="6"/>
        <v>-1.3</v>
      </c>
      <c r="J40" s="153" t="s">
        <v>143</v>
      </c>
      <c r="K40" s="155">
        <v>20</v>
      </c>
      <c r="L40" s="154" t="s">
        <v>148</v>
      </c>
      <c r="M40" s="154">
        <v>20</v>
      </c>
      <c r="N40" s="153" t="s">
        <v>144</v>
      </c>
      <c r="O40" s="155">
        <v>2</v>
      </c>
      <c r="P40" s="154" t="s">
        <v>153</v>
      </c>
      <c r="Q40" s="154">
        <v>10</v>
      </c>
      <c r="R40" s="153" t="s">
        <v>44</v>
      </c>
      <c r="S40" s="155">
        <v>4</v>
      </c>
    </row>
    <row r="41" spans="1:19">
      <c r="A41" s="187" t="s">
        <v>312</v>
      </c>
      <c r="B41" s="159" t="s">
        <v>221</v>
      </c>
      <c r="C41" s="72">
        <v>1</v>
      </c>
      <c r="D41" s="72">
        <v>30</v>
      </c>
      <c r="E41" s="72" t="s">
        <v>313</v>
      </c>
      <c r="F41" s="159">
        <f>F40*3+材料价格!N27*2+材料价格!N29*2+材料价格!K8*4</f>
        <v>80</v>
      </c>
      <c r="H41" s="159">
        <f t="shared" si="5"/>
        <v>-80</v>
      </c>
      <c r="I41" s="72">
        <f t="shared" si="6"/>
        <v>-2.7</v>
      </c>
      <c r="J41" s="160" t="s">
        <v>314</v>
      </c>
      <c r="K41" s="161">
        <v>3</v>
      </c>
      <c r="L41" s="72" t="s">
        <v>154</v>
      </c>
      <c r="M41" s="72">
        <v>2</v>
      </c>
      <c r="N41" s="160" t="s">
        <v>164</v>
      </c>
      <c r="O41" s="161">
        <v>2</v>
      </c>
      <c r="P41" s="72" t="s">
        <v>44</v>
      </c>
      <c r="Q41" s="72">
        <v>4</v>
      </c>
      <c r="R41" s="160"/>
      <c r="S41" s="161"/>
    </row>
    <row r="42" spans="1:19">
      <c r="A42" s="187" t="s">
        <v>315</v>
      </c>
      <c r="B42" s="159" t="s">
        <v>221</v>
      </c>
      <c r="C42" s="72">
        <v>1</v>
      </c>
      <c r="D42" s="72">
        <v>15</v>
      </c>
      <c r="E42" s="72" t="s">
        <v>316</v>
      </c>
      <c r="F42" s="159">
        <f>材料价格!K25*20+材料价格!K26*20+材料价格!N28*2+材料价格!K27*10+材料价格!K8*4</f>
        <v>20</v>
      </c>
      <c r="H42" s="159">
        <f t="shared" si="5"/>
        <v>-20</v>
      </c>
      <c r="I42" s="72">
        <f t="shared" ref="I42:I47" si="7">ROUND(H42/D42,1)</f>
        <v>-1.3</v>
      </c>
      <c r="J42" s="160" t="s">
        <v>143</v>
      </c>
      <c r="K42" s="161">
        <v>20</v>
      </c>
      <c r="L42" s="72" t="s">
        <v>148</v>
      </c>
      <c r="M42" s="72">
        <v>20</v>
      </c>
      <c r="N42" s="160" t="s">
        <v>159</v>
      </c>
      <c r="O42" s="161">
        <v>2</v>
      </c>
      <c r="P42" s="72" t="s">
        <v>153</v>
      </c>
      <c r="Q42" s="72">
        <v>10</v>
      </c>
      <c r="R42" s="160" t="s">
        <v>44</v>
      </c>
      <c r="S42" s="161">
        <v>4</v>
      </c>
    </row>
    <row r="43" spans="1:19">
      <c r="A43" s="187" t="s">
        <v>317</v>
      </c>
      <c r="B43" s="159" t="s">
        <v>221</v>
      </c>
      <c r="C43" s="72">
        <v>1</v>
      </c>
      <c r="D43" s="72">
        <v>30</v>
      </c>
      <c r="E43" s="72" t="s">
        <v>318</v>
      </c>
      <c r="F43" s="159">
        <f>F42*3+材料价格!N26*2+材料价格!N32*2+材料价格!K8*4</f>
        <v>80</v>
      </c>
      <c r="H43" s="159">
        <f t="shared" si="5"/>
        <v>-80</v>
      </c>
      <c r="I43" s="72">
        <f t="shared" si="7"/>
        <v>-2.7</v>
      </c>
      <c r="J43" s="160" t="s">
        <v>319</v>
      </c>
      <c r="K43" s="161">
        <v>3</v>
      </c>
      <c r="L43" s="72" t="s">
        <v>149</v>
      </c>
      <c r="M43" s="72">
        <v>2</v>
      </c>
      <c r="N43" s="160" t="s">
        <v>178</v>
      </c>
      <c r="O43" s="161">
        <v>2</v>
      </c>
      <c r="P43" s="72" t="s">
        <v>44</v>
      </c>
      <c r="Q43" s="72">
        <v>4</v>
      </c>
      <c r="R43" s="160"/>
      <c r="S43" s="161"/>
    </row>
    <row r="44" spans="1:19">
      <c r="A44" s="187" t="s">
        <v>320</v>
      </c>
      <c r="B44" s="159" t="s">
        <v>221</v>
      </c>
      <c r="C44" s="72">
        <v>1</v>
      </c>
      <c r="D44" s="72">
        <v>15</v>
      </c>
      <c r="E44" s="72" t="s">
        <v>321</v>
      </c>
      <c r="F44" s="159">
        <f>材料价格!K25*20+材料价格!K26*20+材料价格!N27*2+材料价格!K27*10+材料价格!K8*4</f>
        <v>20</v>
      </c>
      <c r="H44" s="159">
        <f t="shared" si="5"/>
        <v>-20</v>
      </c>
      <c r="I44" s="72">
        <f t="shared" si="7"/>
        <v>-1.3</v>
      </c>
      <c r="J44" s="160" t="s">
        <v>143</v>
      </c>
      <c r="K44" s="161">
        <v>20</v>
      </c>
      <c r="L44" s="72" t="s">
        <v>148</v>
      </c>
      <c r="M44" s="72">
        <v>20</v>
      </c>
      <c r="N44" s="160" t="s">
        <v>154</v>
      </c>
      <c r="O44" s="161">
        <v>2</v>
      </c>
      <c r="P44" s="72" t="s">
        <v>153</v>
      </c>
      <c r="Q44" s="72">
        <v>10</v>
      </c>
      <c r="R44" s="160" t="s">
        <v>44</v>
      </c>
      <c r="S44" s="161">
        <v>4</v>
      </c>
    </row>
    <row r="45" spans="1:19">
      <c r="A45" s="188" t="s">
        <v>322</v>
      </c>
      <c r="B45" s="164" t="s">
        <v>221</v>
      </c>
      <c r="C45" s="166">
        <v>1</v>
      </c>
      <c r="D45" s="166">
        <v>20</v>
      </c>
      <c r="E45" s="166" t="s">
        <v>323</v>
      </c>
      <c r="F45" s="164">
        <f>F44*3+材料价格!N25*2+材料价格!N31*2+材料价格!K8*4</f>
        <v>80</v>
      </c>
      <c r="G45" s="189"/>
      <c r="H45" s="159">
        <f t="shared" si="5"/>
        <v>-80</v>
      </c>
      <c r="I45" s="72">
        <f t="shared" si="7"/>
        <v>-4</v>
      </c>
      <c r="J45" s="165" t="s">
        <v>324</v>
      </c>
      <c r="K45" s="167">
        <v>3</v>
      </c>
      <c r="L45" s="166" t="s">
        <v>144</v>
      </c>
      <c r="M45" s="166">
        <v>2</v>
      </c>
      <c r="N45" s="165" t="s">
        <v>174</v>
      </c>
      <c r="O45" s="167">
        <v>2</v>
      </c>
      <c r="P45" s="166" t="s">
        <v>44</v>
      </c>
      <c r="Q45" s="166">
        <v>4</v>
      </c>
      <c r="R45" s="165"/>
      <c r="S45" s="167"/>
    </row>
    <row r="46" spans="1:19">
      <c r="A46" s="185" t="s">
        <v>325</v>
      </c>
      <c r="B46" s="152" t="s">
        <v>326</v>
      </c>
      <c r="C46" s="154">
        <v>1</v>
      </c>
      <c r="D46" s="154">
        <v>15</v>
      </c>
      <c r="E46" s="154" t="s">
        <v>327</v>
      </c>
      <c r="F46" s="152">
        <f>材料价格!K26*12+材料价格!K27+材料价格!K8*4</f>
        <v>20</v>
      </c>
      <c r="G46" s="186"/>
      <c r="H46" s="152">
        <f t="shared" si="5"/>
        <v>-20</v>
      </c>
      <c r="I46" s="154">
        <f t="shared" si="7"/>
        <v>-1.3</v>
      </c>
      <c r="J46" s="153" t="s">
        <v>148</v>
      </c>
      <c r="K46" s="155">
        <v>12</v>
      </c>
      <c r="L46" s="154" t="s">
        <v>153</v>
      </c>
      <c r="M46" s="154">
        <v>1</v>
      </c>
      <c r="N46" s="153" t="s">
        <v>44</v>
      </c>
      <c r="O46" s="155">
        <v>4</v>
      </c>
      <c r="P46" s="154"/>
      <c r="Q46" s="154"/>
      <c r="R46" s="153"/>
      <c r="S46" s="155"/>
    </row>
    <row r="47" spans="1:19">
      <c r="A47" s="187" t="s">
        <v>328</v>
      </c>
      <c r="B47" s="159" t="s">
        <v>326</v>
      </c>
      <c r="C47" s="72">
        <v>1</v>
      </c>
      <c r="D47" s="72">
        <v>20</v>
      </c>
      <c r="E47" s="72" t="s">
        <v>329</v>
      </c>
      <c r="F47" s="159">
        <f>F46*3+材料价格!N27*2+材料价格!N31*2+材料价格!K8*4</f>
        <v>80</v>
      </c>
      <c r="H47" s="159">
        <f t="shared" si="5"/>
        <v>-80</v>
      </c>
      <c r="I47" s="72">
        <f t="shared" si="7"/>
        <v>-4</v>
      </c>
      <c r="J47" s="160" t="s">
        <v>330</v>
      </c>
      <c r="K47" s="161">
        <v>3</v>
      </c>
      <c r="L47" s="72" t="s">
        <v>154</v>
      </c>
      <c r="M47" s="72">
        <v>3</v>
      </c>
      <c r="N47" s="160" t="s">
        <v>174</v>
      </c>
      <c r="O47" s="161">
        <v>1</v>
      </c>
      <c r="P47" s="72" t="s">
        <v>44</v>
      </c>
      <c r="Q47" s="72">
        <v>4</v>
      </c>
      <c r="R47" s="160"/>
      <c r="S47" s="161"/>
    </row>
    <row r="48" spans="1:19">
      <c r="A48" s="187" t="s">
        <v>331</v>
      </c>
      <c r="B48" s="159" t="s">
        <v>326</v>
      </c>
      <c r="C48" s="72">
        <v>1</v>
      </c>
      <c r="D48" s="72">
        <v>15</v>
      </c>
      <c r="E48" s="72" t="s">
        <v>332</v>
      </c>
      <c r="F48" s="159">
        <f>材料价格!K25*10+材料价格!K27+材料价格!K8*4</f>
        <v>20</v>
      </c>
      <c r="H48" s="159">
        <f t="shared" si="5"/>
        <v>-20</v>
      </c>
      <c r="I48" s="72">
        <f t="shared" ref="I48:I53" si="8">ROUND(H48/D48,1)</f>
        <v>-1.3</v>
      </c>
      <c r="J48" s="160" t="s">
        <v>143</v>
      </c>
      <c r="K48" s="161">
        <v>12</v>
      </c>
      <c r="L48" s="72" t="s">
        <v>153</v>
      </c>
      <c r="M48" s="72">
        <v>1</v>
      </c>
      <c r="N48" s="160" t="s">
        <v>44</v>
      </c>
      <c r="O48" s="161">
        <v>4</v>
      </c>
      <c r="R48" s="160"/>
      <c r="S48" s="161"/>
    </row>
    <row r="49" spans="1:19">
      <c r="A49" s="187" t="s">
        <v>333</v>
      </c>
      <c r="B49" s="159" t="s">
        <v>326</v>
      </c>
      <c r="C49" s="72">
        <v>1</v>
      </c>
      <c r="D49" s="72">
        <v>20</v>
      </c>
      <c r="E49" s="72" t="s">
        <v>334</v>
      </c>
      <c r="F49" s="159">
        <f>F48*3+材料价格!N26*2+材料价格!N32*2+材料价格!K8*4</f>
        <v>80</v>
      </c>
      <c r="H49" s="159">
        <f t="shared" si="5"/>
        <v>-80</v>
      </c>
      <c r="I49" s="72">
        <f t="shared" si="8"/>
        <v>-4</v>
      </c>
      <c r="J49" s="160" t="s">
        <v>335</v>
      </c>
      <c r="K49" s="161">
        <v>3</v>
      </c>
      <c r="L49" s="72" t="s">
        <v>149</v>
      </c>
      <c r="M49" s="72">
        <v>3</v>
      </c>
      <c r="N49" s="160" t="s">
        <v>178</v>
      </c>
      <c r="O49" s="161">
        <v>1</v>
      </c>
      <c r="P49" s="72" t="s">
        <v>44</v>
      </c>
      <c r="Q49" s="72">
        <v>4</v>
      </c>
      <c r="R49" s="160"/>
      <c r="S49" s="161"/>
    </row>
    <row r="50" spans="1:19">
      <c r="A50" s="187" t="s">
        <v>336</v>
      </c>
      <c r="B50" s="159" t="s">
        <v>326</v>
      </c>
      <c r="C50" s="72">
        <v>1</v>
      </c>
      <c r="D50" s="72">
        <v>15</v>
      </c>
      <c r="E50" s="72" t="s">
        <v>337</v>
      </c>
      <c r="F50" s="159">
        <f>材料价格!K25*10+材料价格!K27+材料价格!K8*4</f>
        <v>20</v>
      </c>
      <c r="H50" s="159">
        <f t="shared" si="5"/>
        <v>-20</v>
      </c>
      <c r="I50" s="72">
        <f t="shared" si="8"/>
        <v>-1.3</v>
      </c>
      <c r="J50" s="160" t="s">
        <v>143</v>
      </c>
      <c r="K50" s="161">
        <v>12</v>
      </c>
      <c r="L50" s="72" t="s">
        <v>153</v>
      </c>
      <c r="M50" s="72">
        <v>1</v>
      </c>
      <c r="N50" s="160" t="s">
        <v>44</v>
      </c>
      <c r="O50" s="161">
        <v>4</v>
      </c>
      <c r="R50" s="160"/>
      <c r="S50" s="161"/>
    </row>
    <row r="51" spans="1:19">
      <c r="A51" s="188" t="s">
        <v>338</v>
      </c>
      <c r="B51" s="164" t="s">
        <v>326</v>
      </c>
      <c r="C51" s="166">
        <v>1</v>
      </c>
      <c r="D51" s="166">
        <v>20</v>
      </c>
      <c r="E51" s="166" t="s">
        <v>339</v>
      </c>
      <c r="F51" s="164">
        <f>F50*3+材料价格!N25*2+材料价格!N31*2+材料价格!K8*4</f>
        <v>80</v>
      </c>
      <c r="G51" s="189"/>
      <c r="H51" s="164">
        <f t="shared" si="5"/>
        <v>-80</v>
      </c>
      <c r="I51" s="166">
        <f t="shared" si="8"/>
        <v>-4</v>
      </c>
      <c r="J51" s="165" t="s">
        <v>340</v>
      </c>
      <c r="K51" s="167">
        <v>3</v>
      </c>
      <c r="L51" s="166" t="s">
        <v>144</v>
      </c>
      <c r="M51" s="166">
        <v>3</v>
      </c>
      <c r="N51" s="165" t="s">
        <v>174</v>
      </c>
      <c r="O51" s="167">
        <v>1</v>
      </c>
      <c r="P51" s="166" t="s">
        <v>44</v>
      </c>
      <c r="Q51" s="166">
        <v>4</v>
      </c>
      <c r="R51" s="165"/>
      <c r="S51" s="167"/>
    </row>
    <row r="52" spans="1:19">
      <c r="A52" s="185" t="s">
        <v>341</v>
      </c>
      <c r="B52" s="152" t="s">
        <v>342</v>
      </c>
      <c r="C52" s="154">
        <v>1</v>
      </c>
      <c r="D52" s="154">
        <v>2</v>
      </c>
      <c r="E52" s="154"/>
      <c r="F52" s="152">
        <f>材料价格!K14*2</f>
        <v>0</v>
      </c>
      <c r="G52" s="186"/>
      <c r="H52" s="152">
        <f t="shared" si="5"/>
        <v>0</v>
      </c>
      <c r="I52" s="154">
        <f t="shared" si="8"/>
        <v>0</v>
      </c>
      <c r="J52" s="153" t="s">
        <v>80</v>
      </c>
      <c r="K52" s="155">
        <v>2</v>
      </c>
      <c r="L52" s="154"/>
      <c r="M52" s="154"/>
      <c r="N52" s="153"/>
      <c r="O52" s="155"/>
      <c r="P52" s="154"/>
      <c r="Q52" s="154"/>
      <c r="R52" s="153"/>
      <c r="S52" s="155"/>
    </row>
    <row r="53" spans="1:19">
      <c r="A53" s="187" t="s">
        <v>343</v>
      </c>
      <c r="B53" s="159" t="s">
        <v>342</v>
      </c>
      <c r="C53" s="72">
        <v>1</v>
      </c>
      <c r="D53" s="72">
        <v>2</v>
      </c>
      <c r="F53" s="159">
        <f>材料价格!K15*2</f>
        <v>0</v>
      </c>
      <c r="H53" s="159">
        <f t="shared" si="5"/>
        <v>0</v>
      </c>
      <c r="I53" s="72">
        <f t="shared" si="8"/>
        <v>0</v>
      </c>
      <c r="J53" s="160" t="s">
        <v>86</v>
      </c>
      <c r="K53" s="161">
        <v>2</v>
      </c>
      <c r="N53" s="160"/>
      <c r="O53" s="161"/>
      <c r="R53" s="160"/>
      <c r="S53" s="161"/>
    </row>
    <row r="54" spans="1:19">
      <c r="A54" s="187" t="s">
        <v>344</v>
      </c>
      <c r="B54" s="159" t="s">
        <v>342</v>
      </c>
      <c r="C54" s="72">
        <v>1</v>
      </c>
      <c r="D54" s="72">
        <v>2</v>
      </c>
      <c r="F54" s="159">
        <f>材料价格!K16*2+材料价格!K6</f>
        <v>0.16</v>
      </c>
      <c r="H54" s="159">
        <f t="shared" si="5"/>
        <v>-0.16</v>
      </c>
      <c r="I54" s="72">
        <f t="shared" ref="I54:I59" si="9">ROUND(H54/D54,1)</f>
        <v>-0.1</v>
      </c>
      <c r="J54" s="160" t="s">
        <v>92</v>
      </c>
      <c r="K54" s="161">
        <v>2</v>
      </c>
      <c r="L54" s="72" t="s">
        <v>32</v>
      </c>
      <c r="M54" s="72">
        <v>1</v>
      </c>
      <c r="N54" s="160"/>
      <c r="O54" s="161"/>
      <c r="R54" s="160"/>
      <c r="S54" s="161"/>
    </row>
    <row r="55" spans="1:19">
      <c r="A55" s="187" t="s">
        <v>345</v>
      </c>
      <c r="B55" s="159" t="s">
        <v>342</v>
      </c>
      <c r="C55" s="72">
        <v>1</v>
      </c>
      <c r="D55" s="72">
        <v>2</v>
      </c>
      <c r="F55" s="159">
        <f>F54*2+材料价格!K7</f>
        <v>0.7</v>
      </c>
      <c r="H55" s="159">
        <f t="shared" si="5"/>
        <v>-0.7</v>
      </c>
      <c r="I55" s="72">
        <f t="shared" si="9"/>
        <v>-0.4</v>
      </c>
      <c r="J55" s="160" t="s">
        <v>344</v>
      </c>
      <c r="K55" s="161">
        <v>2</v>
      </c>
      <c r="L55" s="72" t="s">
        <v>38</v>
      </c>
      <c r="M55" s="72">
        <v>1</v>
      </c>
      <c r="N55" s="160"/>
      <c r="O55" s="161"/>
      <c r="R55" s="160"/>
      <c r="S55" s="161"/>
    </row>
    <row r="56" spans="1:19">
      <c r="A56" s="187" t="s">
        <v>346</v>
      </c>
      <c r="B56" s="159" t="s">
        <v>342</v>
      </c>
      <c r="C56" s="72">
        <v>1</v>
      </c>
      <c r="D56" s="72">
        <v>2</v>
      </c>
      <c r="F56" s="159">
        <f>F55+材料价格!K17+材料价格!K7</f>
        <v>1.08</v>
      </c>
      <c r="H56" s="159">
        <f t="shared" si="5"/>
        <v>-1.08</v>
      </c>
      <c r="I56" s="72">
        <f t="shared" si="9"/>
        <v>-0.5</v>
      </c>
      <c r="J56" s="160" t="s">
        <v>345</v>
      </c>
      <c r="K56" s="161">
        <v>1</v>
      </c>
      <c r="L56" s="72" t="s">
        <v>98</v>
      </c>
      <c r="M56" s="72">
        <v>1</v>
      </c>
      <c r="N56" s="160" t="s">
        <v>38</v>
      </c>
      <c r="O56" s="161">
        <v>1</v>
      </c>
      <c r="R56" s="160"/>
      <c r="S56" s="161"/>
    </row>
    <row r="57" spans="1:19">
      <c r="A57" s="187" t="s">
        <v>347</v>
      </c>
      <c r="B57" s="159" t="s">
        <v>342</v>
      </c>
      <c r="C57" s="72">
        <v>1</v>
      </c>
      <c r="D57" s="72">
        <v>2</v>
      </c>
      <c r="F57" s="159">
        <f>材料价格!K18*2+材料价格!K6</f>
        <v>0.16</v>
      </c>
      <c r="H57" s="159">
        <f t="shared" si="5"/>
        <v>-0.16</v>
      </c>
      <c r="I57" s="72">
        <f t="shared" si="9"/>
        <v>-0.1</v>
      </c>
      <c r="J57" s="160" t="s">
        <v>104</v>
      </c>
      <c r="K57" s="161">
        <v>2</v>
      </c>
      <c r="L57" s="72" t="s">
        <v>32</v>
      </c>
      <c r="M57" s="72">
        <v>1</v>
      </c>
      <c r="N57" s="160"/>
      <c r="O57" s="161"/>
      <c r="R57" s="160"/>
      <c r="S57" s="161"/>
    </row>
    <row r="58" spans="1:19">
      <c r="A58" s="187" t="s">
        <v>348</v>
      </c>
      <c r="B58" s="159" t="s">
        <v>342</v>
      </c>
      <c r="C58" s="72">
        <v>1</v>
      </c>
      <c r="D58" s="72">
        <v>2</v>
      </c>
      <c r="F58" s="159">
        <f>F57+材料价格!K17+材料价格!K7</f>
        <v>0.54</v>
      </c>
      <c r="H58" s="159">
        <f t="shared" si="5"/>
        <v>-0.54</v>
      </c>
      <c r="I58" s="72">
        <f t="shared" si="9"/>
        <v>-0.3</v>
      </c>
      <c r="J58" s="160" t="s">
        <v>347</v>
      </c>
      <c r="K58" s="161">
        <v>1</v>
      </c>
      <c r="L58" s="72" t="s">
        <v>98</v>
      </c>
      <c r="M58" s="72">
        <v>1</v>
      </c>
      <c r="N58" s="160" t="s">
        <v>38</v>
      </c>
      <c r="O58" s="161">
        <v>1</v>
      </c>
      <c r="R58" s="160"/>
      <c r="S58" s="161"/>
    </row>
    <row r="59" spans="1:19">
      <c r="A59" s="187" t="s">
        <v>301</v>
      </c>
      <c r="B59" s="159" t="s">
        <v>342</v>
      </c>
      <c r="C59" s="72">
        <v>1</v>
      </c>
      <c r="D59" s="72">
        <v>2</v>
      </c>
      <c r="F59" s="159">
        <f>材料价格!K21*2</f>
        <v>0</v>
      </c>
      <c r="H59" s="159">
        <f t="shared" si="5"/>
        <v>0</v>
      </c>
      <c r="I59" s="72">
        <f t="shared" si="9"/>
        <v>0</v>
      </c>
      <c r="J59" s="160" t="s">
        <v>122</v>
      </c>
      <c r="K59" s="161">
        <v>2</v>
      </c>
      <c r="N59" s="160"/>
      <c r="O59" s="161"/>
      <c r="R59" s="160"/>
      <c r="S59" s="161"/>
    </row>
    <row r="60" spans="1:19">
      <c r="A60" s="188" t="s">
        <v>298</v>
      </c>
      <c r="B60" s="164" t="s">
        <v>342</v>
      </c>
      <c r="C60" s="166">
        <v>1</v>
      </c>
      <c r="D60" s="166">
        <v>2</v>
      </c>
      <c r="E60" s="166"/>
      <c r="F60" s="164">
        <f>材料价格!K22*2</f>
        <v>0</v>
      </c>
      <c r="G60" s="189"/>
      <c r="H60" s="164">
        <f t="shared" si="5"/>
        <v>0</v>
      </c>
      <c r="I60" s="166">
        <f t="shared" ref="I60:I66" si="10">ROUND(H60/D60,1)</f>
        <v>0</v>
      </c>
      <c r="J60" s="165" t="s">
        <v>128</v>
      </c>
      <c r="K60" s="167">
        <v>2</v>
      </c>
      <c r="L60" s="166"/>
      <c r="M60" s="166"/>
      <c r="N60" s="165"/>
      <c r="O60" s="167"/>
      <c r="P60" s="166"/>
      <c r="Q60" s="166"/>
      <c r="R60" s="165"/>
      <c r="S60" s="167"/>
    </row>
    <row r="61" spans="1:19">
      <c r="A61" s="185" t="s">
        <v>349</v>
      </c>
      <c r="B61" s="152" t="s">
        <v>342</v>
      </c>
      <c r="C61" s="154">
        <v>1</v>
      </c>
      <c r="D61" s="154">
        <v>2</v>
      </c>
      <c r="E61" s="154"/>
      <c r="F61" s="152">
        <f>F59*10+F60*10+材料价格!N4*5</f>
        <v>0</v>
      </c>
      <c r="G61" s="186"/>
      <c r="H61" s="152">
        <f t="shared" si="5"/>
        <v>0</v>
      </c>
      <c r="I61" s="154">
        <f t="shared" si="10"/>
        <v>0</v>
      </c>
      <c r="J61" s="153" t="s">
        <v>301</v>
      </c>
      <c r="K61" s="155">
        <v>10</v>
      </c>
      <c r="L61" s="154" t="s">
        <v>298</v>
      </c>
      <c r="M61" s="154">
        <v>10</v>
      </c>
      <c r="N61" s="153" t="s">
        <v>21</v>
      </c>
      <c r="O61" s="155">
        <v>5</v>
      </c>
      <c r="P61" s="154"/>
      <c r="Q61" s="154"/>
      <c r="R61" s="153"/>
      <c r="S61" s="155"/>
    </row>
    <row r="62" spans="1:19">
      <c r="A62" s="187" t="s">
        <v>223</v>
      </c>
      <c r="B62" s="159" t="s">
        <v>342</v>
      </c>
      <c r="C62" s="72">
        <v>5</v>
      </c>
      <c r="D62" s="72">
        <v>21</v>
      </c>
      <c r="F62" s="159">
        <f>(材料价格!K23*20+材料价格!K24*20+材料价格!N6)/5</f>
        <v>0</v>
      </c>
      <c r="H62" s="159">
        <f t="shared" si="5"/>
        <v>0</v>
      </c>
      <c r="I62" s="72">
        <f t="shared" si="10"/>
        <v>0</v>
      </c>
      <c r="J62" s="160" t="s">
        <v>133</v>
      </c>
      <c r="K62" s="161">
        <v>20</v>
      </c>
      <c r="L62" s="72" t="s">
        <v>138</v>
      </c>
      <c r="M62" s="72">
        <v>20</v>
      </c>
      <c r="N62" s="160" t="s">
        <v>33</v>
      </c>
      <c r="O62" s="161">
        <v>1</v>
      </c>
      <c r="R62" s="160"/>
      <c r="S62" s="161"/>
    </row>
    <row r="63" spans="1:19">
      <c r="A63" s="187" t="s">
        <v>350</v>
      </c>
      <c r="B63" s="159" t="s">
        <v>342</v>
      </c>
      <c r="C63" s="72">
        <v>1</v>
      </c>
      <c r="D63" s="72">
        <v>21</v>
      </c>
      <c r="F63" s="159">
        <f>F61*5+材料价格!N4*50+材料价格!N8+F70*4+F71*4</f>
        <v>0</v>
      </c>
      <c r="H63" s="159">
        <f t="shared" si="5"/>
        <v>0</v>
      </c>
      <c r="I63" s="72">
        <f t="shared" si="10"/>
        <v>0</v>
      </c>
      <c r="J63" s="160" t="s">
        <v>349</v>
      </c>
      <c r="K63" s="161">
        <v>5</v>
      </c>
      <c r="L63" s="72" t="s">
        <v>21</v>
      </c>
      <c r="M63" s="72">
        <v>50</v>
      </c>
      <c r="N63" s="160" t="s">
        <v>45</v>
      </c>
      <c r="O63" s="161">
        <v>1</v>
      </c>
      <c r="P63" s="72" t="s">
        <v>99</v>
      </c>
      <c r="Q63" s="72">
        <v>4</v>
      </c>
      <c r="R63" s="160" t="s">
        <v>105</v>
      </c>
      <c r="S63" s="161">
        <v>4</v>
      </c>
    </row>
    <row r="64" spans="1:19">
      <c r="A64" s="190" t="s">
        <v>351</v>
      </c>
      <c r="B64" s="191" t="s">
        <v>342</v>
      </c>
      <c r="C64" s="192">
        <v>1</v>
      </c>
      <c r="D64" s="192">
        <v>80</v>
      </c>
      <c r="E64" s="192"/>
      <c r="F64" s="191">
        <f>材料价格!N30*2+材料价格!N32*2+材料价格!N16+材料价格!N25*4+材料价格!N27*4</f>
        <v>0</v>
      </c>
      <c r="G64" s="193"/>
      <c r="H64" s="171">
        <f t="shared" si="5"/>
        <v>0</v>
      </c>
      <c r="I64" s="192">
        <f t="shared" si="10"/>
        <v>0</v>
      </c>
      <c r="J64" s="194" t="s">
        <v>169</v>
      </c>
      <c r="K64" s="195">
        <v>2</v>
      </c>
      <c r="L64" s="192" t="s">
        <v>178</v>
      </c>
      <c r="M64" s="192">
        <v>2</v>
      </c>
      <c r="N64" s="194" t="s">
        <v>93</v>
      </c>
      <c r="O64" s="195">
        <v>1</v>
      </c>
      <c r="P64" s="192" t="s">
        <v>144</v>
      </c>
      <c r="Q64" s="192">
        <v>4</v>
      </c>
      <c r="R64" s="194" t="s">
        <v>154</v>
      </c>
      <c r="S64" s="195">
        <v>4</v>
      </c>
    </row>
    <row r="65" spans="1:19">
      <c r="A65" s="185" t="s">
        <v>352</v>
      </c>
      <c r="B65" s="152" t="s">
        <v>353</v>
      </c>
      <c r="C65" s="154">
        <v>8</v>
      </c>
      <c r="D65" s="154">
        <v>4</v>
      </c>
      <c r="E65" s="154"/>
      <c r="F65" s="152">
        <f>(F52*2+材料价格!K13+材料价格!K4)/8</f>
        <v>0.0635</v>
      </c>
      <c r="G65" s="186"/>
      <c r="H65" s="152">
        <f t="shared" si="5"/>
        <v>-0.0635</v>
      </c>
      <c r="I65" s="154">
        <f t="shared" si="10"/>
        <v>0</v>
      </c>
      <c r="J65" s="153" t="s">
        <v>74</v>
      </c>
      <c r="K65" s="155">
        <v>1</v>
      </c>
      <c r="L65" s="154" t="s">
        <v>341</v>
      </c>
      <c r="M65" s="154">
        <v>2</v>
      </c>
      <c r="N65" s="153" t="s">
        <v>20</v>
      </c>
      <c r="O65" s="155">
        <v>1</v>
      </c>
      <c r="P65" s="154"/>
      <c r="Q65" s="154"/>
      <c r="R65" s="153"/>
      <c r="S65" s="155"/>
    </row>
    <row r="66" spans="1:19">
      <c r="A66" s="187" t="s">
        <v>354</v>
      </c>
      <c r="B66" s="159" t="s">
        <v>353</v>
      </c>
      <c r="C66" s="72">
        <v>3</v>
      </c>
      <c r="D66" s="72">
        <v>4</v>
      </c>
      <c r="F66" s="159">
        <f>(F53*2+材料价格!K4*2+材料价格!K12)/3</f>
        <v>0.338666666666667</v>
      </c>
      <c r="H66" s="159">
        <f t="shared" si="5"/>
        <v>-0.338666666666667</v>
      </c>
      <c r="I66" s="72">
        <f t="shared" si="10"/>
        <v>-0.1</v>
      </c>
      <c r="J66" s="160" t="s">
        <v>68</v>
      </c>
      <c r="K66" s="161">
        <v>1</v>
      </c>
      <c r="L66" s="72" t="s">
        <v>343</v>
      </c>
      <c r="M66" s="72">
        <v>2</v>
      </c>
      <c r="N66" s="160" t="s">
        <v>20</v>
      </c>
      <c r="O66" s="161">
        <v>2</v>
      </c>
      <c r="R66" s="160"/>
      <c r="S66" s="161"/>
    </row>
    <row r="67" spans="1:19">
      <c r="A67" s="187" t="s">
        <v>355</v>
      </c>
      <c r="B67" s="159" t="s">
        <v>353</v>
      </c>
      <c r="C67" s="72">
        <v>2</v>
      </c>
      <c r="D67" s="72">
        <v>4</v>
      </c>
      <c r="F67" s="159">
        <f>(F54*2+材料价格!K5*2+材料价格!K11)/2</f>
        <v>0.995</v>
      </c>
      <c r="H67" s="159">
        <f t="shared" si="5"/>
        <v>-0.995</v>
      </c>
      <c r="I67" s="72">
        <f t="shared" ref="I67:I71" si="11">ROUND(H67/D67,1)</f>
        <v>-0.2</v>
      </c>
      <c r="J67" s="160" t="s">
        <v>62</v>
      </c>
      <c r="K67" s="161">
        <v>1</v>
      </c>
      <c r="L67" s="72" t="s">
        <v>26</v>
      </c>
      <c r="M67" s="72">
        <v>2</v>
      </c>
      <c r="N67" s="160" t="s">
        <v>344</v>
      </c>
      <c r="O67" s="161">
        <v>2</v>
      </c>
      <c r="R67" s="160"/>
      <c r="S67" s="161"/>
    </row>
    <row r="68" spans="1:19">
      <c r="A68" s="187" t="s">
        <v>356</v>
      </c>
      <c r="B68" s="159" t="s">
        <v>353</v>
      </c>
      <c r="C68" s="72">
        <v>1</v>
      </c>
      <c r="D68" s="72">
        <v>8</v>
      </c>
      <c r="F68" s="159">
        <f>F59*2+材料价格!K10+材料价格!K7*2</f>
        <v>10.76</v>
      </c>
      <c r="H68" s="159">
        <f t="shared" si="5"/>
        <v>-10.76</v>
      </c>
      <c r="I68" s="72">
        <f t="shared" si="11"/>
        <v>-1.3</v>
      </c>
      <c r="J68" s="160" t="s">
        <v>301</v>
      </c>
      <c r="K68" s="161">
        <v>2</v>
      </c>
      <c r="L68" s="72" t="s">
        <v>56</v>
      </c>
      <c r="M68" s="72">
        <v>1</v>
      </c>
      <c r="N68" s="160" t="s">
        <v>38</v>
      </c>
      <c r="O68" s="161">
        <v>2</v>
      </c>
      <c r="R68" s="160"/>
      <c r="S68" s="161"/>
    </row>
    <row r="69" spans="1:19">
      <c r="A69" s="188" t="s">
        <v>357</v>
      </c>
      <c r="B69" s="164" t="s">
        <v>353</v>
      </c>
      <c r="C69" s="166">
        <v>1</v>
      </c>
      <c r="D69" s="166">
        <v>10</v>
      </c>
      <c r="E69" s="166"/>
      <c r="F69" s="164">
        <f>F60*2+材料价格!K9+材料价格!K7*5</f>
        <v>21.9</v>
      </c>
      <c r="G69" s="189"/>
      <c r="H69" s="164">
        <f t="shared" si="5"/>
        <v>-21.9</v>
      </c>
      <c r="I69" s="166">
        <f t="shared" si="11"/>
        <v>-2.2</v>
      </c>
      <c r="J69" s="165" t="s">
        <v>298</v>
      </c>
      <c r="K69" s="167">
        <v>2</v>
      </c>
      <c r="L69" s="166" t="s">
        <v>50</v>
      </c>
      <c r="M69" s="166">
        <v>1</v>
      </c>
      <c r="N69" s="165" t="s">
        <v>38</v>
      </c>
      <c r="O69" s="167">
        <v>5</v>
      </c>
      <c r="P69" s="166"/>
      <c r="Q69" s="166"/>
      <c r="R69" s="165"/>
      <c r="S69" s="167"/>
    </row>
    <row r="70" spans="1:19">
      <c r="A70" s="151" t="s">
        <v>99</v>
      </c>
      <c r="B70" s="152" t="s">
        <v>342</v>
      </c>
      <c r="C70" s="154">
        <v>1</v>
      </c>
      <c r="D70" s="154">
        <v>9</v>
      </c>
      <c r="E70" s="154"/>
      <c r="F70" s="152">
        <f>材料价格!B41*2+材料价格!H30*2+材料价格!E45*2+材料价格!E43*2</f>
        <v>0</v>
      </c>
      <c r="G70" s="186">
        <f>材料价格!N17</f>
        <v>0</v>
      </c>
      <c r="H70" s="152">
        <f t="shared" si="5"/>
        <v>0</v>
      </c>
      <c r="I70" s="154">
        <f t="shared" si="11"/>
        <v>0</v>
      </c>
      <c r="J70" s="153" t="s">
        <v>196</v>
      </c>
      <c r="K70" s="155">
        <v>2</v>
      </c>
      <c r="L70" s="154" t="s">
        <v>167</v>
      </c>
      <c r="M70" s="154">
        <v>2</v>
      </c>
      <c r="N70" s="153" t="s">
        <v>202</v>
      </c>
      <c r="O70" s="155">
        <v>2</v>
      </c>
      <c r="P70" s="154" t="s">
        <v>200</v>
      </c>
      <c r="Q70" s="154">
        <v>2</v>
      </c>
      <c r="R70" s="153"/>
      <c r="S70" s="155"/>
    </row>
    <row r="71" spans="1:19">
      <c r="A71" s="163" t="s">
        <v>105</v>
      </c>
      <c r="B71" s="164" t="s">
        <v>342</v>
      </c>
      <c r="C71" s="166">
        <v>1</v>
      </c>
      <c r="D71" s="166">
        <v>9</v>
      </c>
      <c r="E71" s="166"/>
      <c r="F71" s="164">
        <f>材料价格!K29*2+材料价格!K30*2+材料价格!H33*2+材料价格!B42*2</f>
        <v>0</v>
      </c>
      <c r="G71" s="189">
        <f>材料价格!N18</f>
        <v>0</v>
      </c>
      <c r="H71" s="164">
        <f t="shared" si="5"/>
        <v>0</v>
      </c>
      <c r="I71" s="166">
        <f t="shared" si="11"/>
        <v>0</v>
      </c>
      <c r="J71" s="165" t="s">
        <v>163</v>
      </c>
      <c r="K71" s="167">
        <v>2</v>
      </c>
      <c r="L71" s="166" t="s">
        <v>168</v>
      </c>
      <c r="M71" s="166">
        <v>2</v>
      </c>
      <c r="N71" s="165" t="s">
        <v>181</v>
      </c>
      <c r="O71" s="167">
        <v>2</v>
      </c>
      <c r="P71" s="166" t="s">
        <v>198</v>
      </c>
      <c r="Q71" s="166">
        <v>2</v>
      </c>
      <c r="R71" s="165"/>
      <c r="S71" s="167"/>
    </row>
    <row r="72" spans="1:1">
      <c r="A72" s="196"/>
    </row>
    <row r="73" spans="1:1">
      <c r="A73" s="196"/>
    </row>
    <row r="74" spans="1:1">
      <c r="A74" s="196"/>
    </row>
    <row r="75" spans="1:1">
      <c r="A75" s="196"/>
    </row>
    <row r="76" spans="1:1">
      <c r="A76" s="196"/>
    </row>
    <row r="77" spans="1:1">
      <c r="A77" s="196"/>
    </row>
    <row r="78" spans="1:1">
      <c r="A78" s="196"/>
    </row>
  </sheetData>
  <mergeCells count="3">
    <mergeCell ref="A1:E1"/>
    <mergeCell ref="H1:I1"/>
    <mergeCell ref="J1:S1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T74"/>
  <sheetViews>
    <sheetView workbookViewId="0">
      <pane xSplit="1" topLeftCell="B1" activePane="topRight" state="frozen"/>
      <selection/>
      <selection pane="topRight" activeCell="A1" sqref="A1:E1"/>
    </sheetView>
  </sheetViews>
  <sheetFormatPr defaultColWidth="9" defaultRowHeight="17.25"/>
  <cols>
    <col min="1" max="1" width="19.625" style="142" customWidth="1"/>
    <col min="2" max="2" width="7.625" style="143" customWidth="1"/>
    <col min="3" max="4" width="4.625" style="143" customWidth="1"/>
    <col min="5" max="5" width="21.625" style="143" customWidth="1"/>
    <col min="6" max="6" width="9.625" style="141" customWidth="1"/>
    <col min="7" max="7" width="9.625" style="144" customWidth="1"/>
    <col min="8" max="8" width="9.625" style="143" customWidth="1"/>
    <col min="9" max="9" width="10.625" style="143" customWidth="1"/>
    <col min="10" max="10" width="14.625" style="143" customWidth="1"/>
    <col min="11" max="11" width="4.625" style="143" customWidth="1"/>
    <col min="12" max="12" width="10.625" style="143" customWidth="1"/>
    <col min="13" max="13" width="4.625" style="143" customWidth="1"/>
    <col min="14" max="14" width="10.625" style="143" customWidth="1"/>
    <col min="15" max="15" width="4.625" style="143" customWidth="1"/>
    <col min="16" max="16" width="10.625" style="143" customWidth="1"/>
    <col min="17" max="17" width="4.625" style="143" customWidth="1"/>
    <col min="18" max="18" width="10.625" style="143" customWidth="1"/>
    <col min="19" max="19" width="4.625" style="143" customWidth="1"/>
    <col min="20" max="16384" width="9" style="143"/>
  </cols>
  <sheetData>
    <row r="1" s="72" customFormat="1" ht="49.5" spans="1:19">
      <c r="A1" s="76" t="s">
        <v>203</v>
      </c>
      <c r="B1" s="77"/>
      <c r="C1" s="77"/>
      <c r="D1" s="77"/>
      <c r="E1" s="78"/>
      <c r="F1" s="79" t="s">
        <v>204</v>
      </c>
      <c r="G1" s="80" t="s">
        <v>205</v>
      </c>
      <c r="H1" s="81" t="s">
        <v>206</v>
      </c>
      <c r="I1" s="81"/>
      <c r="J1" s="81" t="s">
        <v>203</v>
      </c>
      <c r="K1" s="81"/>
      <c r="L1" s="81"/>
      <c r="M1" s="81"/>
      <c r="N1" s="81"/>
      <c r="O1" s="81"/>
      <c r="P1" s="81"/>
      <c r="Q1" s="81"/>
      <c r="R1" s="81"/>
      <c r="S1" s="81"/>
    </row>
    <row r="2" s="141" customFormat="1" spans="1:19">
      <c r="A2" s="145" t="s">
        <v>14</v>
      </c>
      <c r="B2" s="146" t="s">
        <v>207</v>
      </c>
      <c r="C2" s="147" t="s">
        <v>208</v>
      </c>
      <c r="D2" s="148" t="s">
        <v>209</v>
      </c>
      <c r="E2" s="149" t="s">
        <v>210</v>
      </c>
      <c r="F2" s="145" t="s">
        <v>211</v>
      </c>
      <c r="G2" s="150" t="s">
        <v>212</v>
      </c>
      <c r="H2" s="145" t="s">
        <v>213</v>
      </c>
      <c r="I2" s="176" t="s">
        <v>214</v>
      </c>
      <c r="J2" s="147" t="s">
        <v>215</v>
      </c>
      <c r="K2" s="149" t="s">
        <v>208</v>
      </c>
      <c r="L2" s="147" t="s">
        <v>216</v>
      </c>
      <c r="M2" s="149" t="s">
        <v>208</v>
      </c>
      <c r="N2" s="147" t="s">
        <v>217</v>
      </c>
      <c r="O2" s="149" t="s">
        <v>208</v>
      </c>
      <c r="P2" s="177" t="s">
        <v>218</v>
      </c>
      <c r="Q2" s="178" t="s">
        <v>208</v>
      </c>
      <c r="R2" s="147" t="s">
        <v>219</v>
      </c>
      <c r="S2" s="149" t="s">
        <v>208</v>
      </c>
    </row>
    <row r="3" spans="1:19">
      <c r="A3" s="151" t="s">
        <v>358</v>
      </c>
      <c r="B3" s="152" t="s">
        <v>221</v>
      </c>
      <c r="C3" s="153">
        <v>1</v>
      </c>
      <c r="D3" s="154">
        <v>25</v>
      </c>
      <c r="E3" s="155" t="s">
        <v>359</v>
      </c>
      <c r="F3" s="156">
        <f>F56+材料价格!E42+材料价格!Q18*5+材料价格!H5*5</f>
        <v>2.7</v>
      </c>
      <c r="G3" s="157"/>
      <c r="H3" s="154">
        <f t="shared" ref="H3:H34" si="0">G3-F3</f>
        <v>-2.7</v>
      </c>
      <c r="I3" s="152">
        <f t="shared" ref="I3:I34" si="1">ROUND(H3/D3,1)</f>
        <v>-0.1</v>
      </c>
      <c r="J3" s="153" t="s">
        <v>152</v>
      </c>
      <c r="K3" s="155">
        <v>1</v>
      </c>
      <c r="L3" s="154" t="s">
        <v>199</v>
      </c>
      <c r="M3" s="154">
        <v>1</v>
      </c>
      <c r="N3" s="153" t="s">
        <v>106</v>
      </c>
      <c r="O3" s="155">
        <v>5</v>
      </c>
      <c r="P3" s="154" t="s">
        <v>25</v>
      </c>
      <c r="Q3" s="154">
        <v>5</v>
      </c>
      <c r="R3" s="153"/>
      <c r="S3" s="155"/>
    </row>
    <row r="4" spans="1:19">
      <c r="A4" s="158" t="s">
        <v>360</v>
      </c>
      <c r="B4" s="159" t="s">
        <v>221</v>
      </c>
      <c r="C4" s="160">
        <v>1</v>
      </c>
      <c r="D4" s="72">
        <v>25</v>
      </c>
      <c r="E4" s="161" t="s">
        <v>361</v>
      </c>
      <c r="F4" s="145">
        <f>F56+材料价格!E45+材料价格!Q15*5+材料价格!H5*5</f>
        <v>2.7</v>
      </c>
      <c r="G4" s="162"/>
      <c r="H4" s="72">
        <f t="shared" si="0"/>
        <v>-2.7</v>
      </c>
      <c r="I4" s="159">
        <f t="shared" si="1"/>
        <v>-0.1</v>
      </c>
      <c r="J4" s="160" t="s">
        <v>152</v>
      </c>
      <c r="K4" s="161">
        <v>1</v>
      </c>
      <c r="L4" s="72" t="s">
        <v>202</v>
      </c>
      <c r="M4" s="72">
        <v>1</v>
      </c>
      <c r="N4" s="160" t="s">
        <v>88</v>
      </c>
      <c r="O4" s="161">
        <v>5</v>
      </c>
      <c r="P4" s="72" t="s">
        <v>25</v>
      </c>
      <c r="Q4" s="72">
        <v>5</v>
      </c>
      <c r="R4" s="160"/>
      <c r="S4" s="161"/>
    </row>
    <row r="5" spans="1:19">
      <c r="A5" s="158" t="s">
        <v>362</v>
      </c>
      <c r="B5" s="159" t="s">
        <v>221</v>
      </c>
      <c r="C5" s="160">
        <v>1</v>
      </c>
      <c r="D5" s="72">
        <v>25</v>
      </c>
      <c r="E5" s="161" t="s">
        <v>363</v>
      </c>
      <c r="F5" s="145">
        <f>F56+材料价格!B40+材料价格!Q15*5+材料价格!H5*5</f>
        <v>2.7</v>
      </c>
      <c r="G5" s="162"/>
      <c r="H5" s="72">
        <f t="shared" si="0"/>
        <v>-2.7</v>
      </c>
      <c r="I5" s="159">
        <f t="shared" si="1"/>
        <v>-0.1</v>
      </c>
      <c r="J5" s="160" t="s">
        <v>152</v>
      </c>
      <c r="K5" s="161">
        <v>1</v>
      </c>
      <c r="L5" s="72" t="s">
        <v>194</v>
      </c>
      <c r="M5" s="72">
        <v>1</v>
      </c>
      <c r="N5" s="160" t="s">
        <v>88</v>
      </c>
      <c r="O5" s="161">
        <v>5</v>
      </c>
      <c r="P5" s="72" t="s">
        <v>25</v>
      </c>
      <c r="Q5" s="72">
        <v>5</v>
      </c>
      <c r="R5" s="160"/>
      <c r="S5" s="161"/>
    </row>
    <row r="6" spans="1:19">
      <c r="A6" s="158" t="s">
        <v>364</v>
      </c>
      <c r="B6" s="159" t="s">
        <v>221</v>
      </c>
      <c r="C6" s="160">
        <v>1</v>
      </c>
      <c r="D6" s="72">
        <v>61</v>
      </c>
      <c r="E6" s="161" t="s">
        <v>365</v>
      </c>
      <c r="F6" s="145">
        <f>F57*2+材料价格!N20*2+材料价格!N4*2+材料价格!Q7*10</f>
        <v>0.76</v>
      </c>
      <c r="G6" s="162"/>
      <c r="H6" s="72">
        <f t="shared" si="0"/>
        <v>-0.76</v>
      </c>
      <c r="I6" s="159">
        <f t="shared" si="1"/>
        <v>0</v>
      </c>
      <c r="J6" s="160" t="s">
        <v>157</v>
      </c>
      <c r="K6" s="161">
        <v>2</v>
      </c>
      <c r="L6" s="72" t="s">
        <v>117</v>
      </c>
      <c r="M6" s="72">
        <v>2</v>
      </c>
      <c r="N6" s="160" t="s">
        <v>21</v>
      </c>
      <c r="O6" s="161">
        <v>2</v>
      </c>
      <c r="P6" s="72" t="s">
        <v>40</v>
      </c>
      <c r="Q6" s="72">
        <v>10</v>
      </c>
      <c r="R6" s="160"/>
      <c r="S6" s="161"/>
    </row>
    <row r="7" spans="1:19">
      <c r="A7" s="158" t="s">
        <v>366</v>
      </c>
      <c r="B7" s="159" t="s">
        <v>221</v>
      </c>
      <c r="C7" s="160">
        <v>1</v>
      </c>
      <c r="D7" s="72">
        <v>61</v>
      </c>
      <c r="E7" s="161" t="s">
        <v>367</v>
      </c>
      <c r="F7" s="145">
        <f>F58+材料价格!N6+材料价格!H33+材料价格!H6*4</f>
        <v>20</v>
      </c>
      <c r="G7" s="162"/>
      <c r="H7" s="72">
        <f t="shared" si="0"/>
        <v>-20</v>
      </c>
      <c r="I7" s="159">
        <f t="shared" si="1"/>
        <v>-0.3</v>
      </c>
      <c r="J7" s="160" t="s">
        <v>368</v>
      </c>
      <c r="K7" s="161">
        <v>1</v>
      </c>
      <c r="L7" s="72" t="s">
        <v>33</v>
      </c>
      <c r="M7" s="72">
        <v>1</v>
      </c>
      <c r="N7" s="160" t="s">
        <v>181</v>
      </c>
      <c r="O7" s="161">
        <v>1</v>
      </c>
      <c r="P7" s="72" t="s">
        <v>31</v>
      </c>
      <c r="Q7" s="72">
        <v>4</v>
      </c>
      <c r="R7" s="160"/>
      <c r="S7" s="161"/>
    </row>
    <row r="8" spans="1:19">
      <c r="A8" s="163" t="s">
        <v>369</v>
      </c>
      <c r="B8" s="164" t="s">
        <v>221</v>
      </c>
      <c r="C8" s="165">
        <v>1</v>
      </c>
      <c r="D8" s="166">
        <v>61</v>
      </c>
      <c r="E8" s="167" t="s">
        <v>370</v>
      </c>
      <c r="F8" s="168">
        <f>F58+材料价格!N6+材料价格!H31+材料价格!H6*4</f>
        <v>20</v>
      </c>
      <c r="G8" s="169"/>
      <c r="H8" s="166">
        <f t="shared" si="0"/>
        <v>-20</v>
      </c>
      <c r="I8" s="164">
        <f t="shared" si="1"/>
        <v>-0.3</v>
      </c>
      <c r="J8" s="165" t="s">
        <v>368</v>
      </c>
      <c r="K8" s="167">
        <v>1</v>
      </c>
      <c r="L8" s="166" t="s">
        <v>33</v>
      </c>
      <c r="M8" s="166">
        <v>1</v>
      </c>
      <c r="N8" s="165" t="s">
        <v>172</v>
      </c>
      <c r="O8" s="167">
        <v>1</v>
      </c>
      <c r="P8" s="166" t="s">
        <v>31</v>
      </c>
      <c r="Q8" s="166">
        <v>4</v>
      </c>
      <c r="R8" s="165"/>
      <c r="S8" s="167"/>
    </row>
    <row r="9" spans="1:19">
      <c r="A9" s="151" t="s">
        <v>371</v>
      </c>
      <c r="B9" s="152" t="s">
        <v>221</v>
      </c>
      <c r="C9" s="153">
        <v>1</v>
      </c>
      <c r="D9" s="154">
        <v>15</v>
      </c>
      <c r="E9" s="155" t="s">
        <v>372</v>
      </c>
      <c r="F9" s="156">
        <f>材料价格!H18*20+材料价格!H19*20+材料价格!N27*2+材料价格!H29*10+材料价格!H6</f>
        <v>5</v>
      </c>
      <c r="G9" s="157"/>
      <c r="H9" s="154">
        <f t="shared" si="0"/>
        <v>-5</v>
      </c>
      <c r="I9" s="152">
        <f t="shared" si="1"/>
        <v>-0.3</v>
      </c>
      <c r="J9" s="153" t="s">
        <v>103</v>
      </c>
      <c r="K9" s="155">
        <v>20</v>
      </c>
      <c r="L9" s="154" t="s">
        <v>109</v>
      </c>
      <c r="M9" s="154">
        <v>20</v>
      </c>
      <c r="N9" s="153" t="s">
        <v>154</v>
      </c>
      <c r="O9" s="155">
        <v>2</v>
      </c>
      <c r="P9" s="154" t="s">
        <v>162</v>
      </c>
      <c r="Q9" s="154">
        <v>10</v>
      </c>
      <c r="R9" s="153" t="s">
        <v>31</v>
      </c>
      <c r="S9" s="155">
        <v>1</v>
      </c>
    </row>
    <row r="10" spans="1:19">
      <c r="A10" s="158" t="s">
        <v>373</v>
      </c>
      <c r="B10" s="159" t="s">
        <v>221</v>
      </c>
      <c r="C10" s="160">
        <v>1</v>
      </c>
      <c r="D10" s="72">
        <v>15</v>
      </c>
      <c r="E10" s="161" t="s">
        <v>374</v>
      </c>
      <c r="F10" s="145">
        <f>F9*3+材料价格!N27*2+材料价格!N29*2+材料价格!H6</f>
        <v>20</v>
      </c>
      <c r="G10" s="162"/>
      <c r="H10" s="72">
        <f t="shared" si="0"/>
        <v>-20</v>
      </c>
      <c r="I10" s="159">
        <f t="shared" si="1"/>
        <v>-1.3</v>
      </c>
      <c r="J10" s="160" t="s">
        <v>375</v>
      </c>
      <c r="K10" s="161">
        <v>3</v>
      </c>
      <c r="L10" s="72" t="s">
        <v>154</v>
      </c>
      <c r="M10" s="72">
        <v>2</v>
      </c>
      <c r="N10" s="160" t="s">
        <v>164</v>
      </c>
      <c r="O10" s="161">
        <v>2</v>
      </c>
      <c r="P10" s="72" t="s">
        <v>31</v>
      </c>
      <c r="Q10" s="72">
        <v>1</v>
      </c>
      <c r="R10" s="160"/>
      <c r="S10" s="161"/>
    </row>
    <row r="11" spans="1:19">
      <c r="A11" s="158" t="s">
        <v>376</v>
      </c>
      <c r="B11" s="159" t="s">
        <v>221</v>
      </c>
      <c r="C11" s="160">
        <v>1</v>
      </c>
      <c r="D11" s="72">
        <v>15</v>
      </c>
      <c r="E11" s="161" t="s">
        <v>377</v>
      </c>
      <c r="F11" s="145">
        <f>材料价格!H18*20+材料价格!H19*20+材料价格!N26*2+材料价格!H29*10+材料价格!H6</f>
        <v>5</v>
      </c>
      <c r="G11" s="162"/>
      <c r="H11" s="72">
        <f t="shared" si="0"/>
        <v>-5</v>
      </c>
      <c r="I11" s="159">
        <f t="shared" si="1"/>
        <v>-0.3</v>
      </c>
      <c r="J11" s="160" t="s">
        <v>103</v>
      </c>
      <c r="K11" s="161">
        <v>20</v>
      </c>
      <c r="L11" s="72" t="s">
        <v>109</v>
      </c>
      <c r="M11" s="72">
        <v>20</v>
      </c>
      <c r="N11" s="160" t="s">
        <v>149</v>
      </c>
      <c r="O11" s="161">
        <v>2</v>
      </c>
      <c r="P11" s="72" t="s">
        <v>162</v>
      </c>
      <c r="Q11" s="72">
        <v>10</v>
      </c>
      <c r="R11" s="160" t="s">
        <v>31</v>
      </c>
      <c r="S11" s="161">
        <v>1</v>
      </c>
    </row>
    <row r="12" spans="1:19">
      <c r="A12" s="158" t="s">
        <v>378</v>
      </c>
      <c r="B12" s="159" t="s">
        <v>221</v>
      </c>
      <c r="C12" s="160">
        <v>1</v>
      </c>
      <c r="D12" s="72">
        <v>15</v>
      </c>
      <c r="E12" s="161" t="s">
        <v>379</v>
      </c>
      <c r="F12" s="145">
        <f>F11*3+材料价格!N26*2+材料价格!N32*2+材料价格!H6</f>
        <v>20</v>
      </c>
      <c r="G12" s="162"/>
      <c r="H12" s="72">
        <f t="shared" si="0"/>
        <v>-20</v>
      </c>
      <c r="I12" s="159">
        <f t="shared" si="1"/>
        <v>-1.3</v>
      </c>
      <c r="J12" s="160" t="s">
        <v>380</v>
      </c>
      <c r="K12" s="161">
        <v>3</v>
      </c>
      <c r="L12" s="72" t="s">
        <v>149</v>
      </c>
      <c r="M12" s="72">
        <v>2</v>
      </c>
      <c r="N12" s="160" t="s">
        <v>178</v>
      </c>
      <c r="O12" s="161">
        <v>2</v>
      </c>
      <c r="P12" s="72" t="s">
        <v>31</v>
      </c>
      <c r="Q12" s="72">
        <v>1</v>
      </c>
      <c r="R12" s="160"/>
      <c r="S12" s="161"/>
    </row>
    <row r="13" spans="1:19">
      <c r="A13" s="158" t="s">
        <v>381</v>
      </c>
      <c r="B13" s="159" t="s">
        <v>221</v>
      </c>
      <c r="C13" s="160">
        <v>1</v>
      </c>
      <c r="D13" s="72">
        <v>15</v>
      </c>
      <c r="E13" s="161" t="s">
        <v>382</v>
      </c>
      <c r="F13" s="145">
        <f>材料价格!H18*20+材料价格!H19*20+材料价格!N25*2+材料价格!H29*10+材料价格!H6</f>
        <v>5</v>
      </c>
      <c r="G13" s="162"/>
      <c r="H13" s="72">
        <f t="shared" si="0"/>
        <v>-5</v>
      </c>
      <c r="I13" s="159">
        <f t="shared" si="1"/>
        <v>-0.3</v>
      </c>
      <c r="J13" s="160" t="s">
        <v>103</v>
      </c>
      <c r="K13" s="161">
        <v>20</v>
      </c>
      <c r="L13" s="72" t="s">
        <v>109</v>
      </c>
      <c r="M13" s="72">
        <v>20</v>
      </c>
      <c r="N13" s="160" t="s">
        <v>144</v>
      </c>
      <c r="O13" s="161">
        <v>2</v>
      </c>
      <c r="P13" s="72" t="s">
        <v>162</v>
      </c>
      <c r="Q13" s="72">
        <v>10</v>
      </c>
      <c r="R13" s="160" t="s">
        <v>31</v>
      </c>
      <c r="S13" s="161">
        <v>1</v>
      </c>
    </row>
    <row r="14" spans="1:19">
      <c r="A14" s="158" t="s">
        <v>383</v>
      </c>
      <c r="B14" s="159" t="s">
        <v>221</v>
      </c>
      <c r="C14" s="160">
        <v>1</v>
      </c>
      <c r="D14" s="72">
        <v>15</v>
      </c>
      <c r="E14" s="161" t="s">
        <v>384</v>
      </c>
      <c r="F14" s="145">
        <f>F13*3+材料价格!N25*2+材料价格!N31*2+材料价格!H6</f>
        <v>20</v>
      </c>
      <c r="G14" s="162"/>
      <c r="H14" s="72">
        <f t="shared" si="0"/>
        <v>-20</v>
      </c>
      <c r="I14" s="159">
        <f t="shared" si="1"/>
        <v>-1.3</v>
      </c>
      <c r="J14" s="160" t="s">
        <v>385</v>
      </c>
      <c r="K14" s="161">
        <v>3</v>
      </c>
      <c r="L14" s="72" t="s">
        <v>144</v>
      </c>
      <c r="M14" s="72">
        <v>2</v>
      </c>
      <c r="N14" s="160" t="s">
        <v>174</v>
      </c>
      <c r="O14" s="161">
        <v>2</v>
      </c>
      <c r="P14" s="72" t="s">
        <v>31</v>
      </c>
      <c r="Q14" s="72">
        <v>1</v>
      </c>
      <c r="R14" s="160"/>
      <c r="S14" s="161"/>
    </row>
    <row r="15" spans="1:19">
      <c r="A15" s="158" t="s">
        <v>386</v>
      </c>
      <c r="B15" s="159" t="s">
        <v>221</v>
      </c>
      <c r="C15" s="160">
        <v>1</v>
      </c>
      <c r="D15" s="72">
        <v>15</v>
      </c>
      <c r="E15" s="161" t="s">
        <v>387</v>
      </c>
      <c r="F15" s="145">
        <f>材料价格!H18*20+材料价格!H19*20+材料价格!N25*2+材料价格!H29*10+材料价格!H6</f>
        <v>5</v>
      </c>
      <c r="G15" s="162"/>
      <c r="H15" s="72">
        <f t="shared" si="0"/>
        <v>-5</v>
      </c>
      <c r="I15" s="159">
        <f t="shared" si="1"/>
        <v>-0.3</v>
      </c>
      <c r="J15" s="160" t="s">
        <v>103</v>
      </c>
      <c r="K15" s="161">
        <v>20</v>
      </c>
      <c r="L15" s="72" t="s">
        <v>109</v>
      </c>
      <c r="M15" s="72">
        <v>20</v>
      </c>
      <c r="N15" s="160" t="s">
        <v>144</v>
      </c>
      <c r="O15" s="161">
        <v>2</v>
      </c>
      <c r="P15" s="72" t="s">
        <v>162</v>
      </c>
      <c r="Q15" s="72">
        <v>10</v>
      </c>
      <c r="R15" s="160" t="s">
        <v>31</v>
      </c>
      <c r="S15" s="161">
        <v>1</v>
      </c>
    </row>
    <row r="16" spans="1:19">
      <c r="A16" s="158" t="s">
        <v>388</v>
      </c>
      <c r="B16" s="159" t="s">
        <v>221</v>
      </c>
      <c r="C16" s="160">
        <v>1</v>
      </c>
      <c r="D16" s="72">
        <v>15</v>
      </c>
      <c r="E16" s="161" t="s">
        <v>389</v>
      </c>
      <c r="F16" s="145">
        <f>F15*3+材料价格!N27*2+材料价格!N29*2+材料价格!H6</f>
        <v>20</v>
      </c>
      <c r="G16" s="162"/>
      <c r="H16" s="72">
        <f t="shared" si="0"/>
        <v>-20</v>
      </c>
      <c r="I16" s="159">
        <f t="shared" si="1"/>
        <v>-1.3</v>
      </c>
      <c r="J16" s="160" t="s">
        <v>390</v>
      </c>
      <c r="K16" s="161">
        <v>3</v>
      </c>
      <c r="L16" s="72" t="s">
        <v>154</v>
      </c>
      <c r="M16" s="72">
        <v>2</v>
      </c>
      <c r="N16" s="160" t="s">
        <v>164</v>
      </c>
      <c r="O16" s="161">
        <v>2</v>
      </c>
      <c r="P16" s="72" t="s">
        <v>31</v>
      </c>
      <c r="Q16" s="72">
        <v>1</v>
      </c>
      <c r="R16" s="160"/>
      <c r="S16" s="161"/>
    </row>
    <row r="17" spans="1:19">
      <c r="A17" s="158" t="s">
        <v>391</v>
      </c>
      <c r="B17" s="159" t="s">
        <v>221</v>
      </c>
      <c r="C17" s="160">
        <v>1</v>
      </c>
      <c r="D17" s="72">
        <v>15</v>
      </c>
      <c r="E17" s="161" t="s">
        <v>392</v>
      </c>
      <c r="F17" s="145">
        <f>材料价格!H18*20+材料价格!H19*20+材料价格!N26*2+材料价格!H29*10+材料价格!H6</f>
        <v>5</v>
      </c>
      <c r="G17" s="162"/>
      <c r="H17" s="72">
        <f t="shared" si="0"/>
        <v>-5</v>
      </c>
      <c r="I17" s="159">
        <f t="shared" si="1"/>
        <v>-0.3</v>
      </c>
      <c r="J17" s="160" t="s">
        <v>103</v>
      </c>
      <c r="K17" s="161">
        <v>20</v>
      </c>
      <c r="L17" s="72" t="s">
        <v>109</v>
      </c>
      <c r="M17" s="72">
        <v>20</v>
      </c>
      <c r="N17" s="160" t="s">
        <v>149</v>
      </c>
      <c r="O17" s="161">
        <v>2</v>
      </c>
      <c r="P17" s="72" t="s">
        <v>162</v>
      </c>
      <c r="Q17" s="72">
        <v>10</v>
      </c>
      <c r="R17" s="160" t="s">
        <v>31</v>
      </c>
      <c r="S17" s="161">
        <v>1</v>
      </c>
    </row>
    <row r="18" spans="1:19">
      <c r="A18" s="163" t="s">
        <v>393</v>
      </c>
      <c r="B18" s="164" t="s">
        <v>221</v>
      </c>
      <c r="C18" s="165">
        <v>1</v>
      </c>
      <c r="D18" s="166">
        <v>15</v>
      </c>
      <c r="E18" s="167" t="s">
        <v>394</v>
      </c>
      <c r="F18" s="168">
        <f>F17*3+材料价格!N28*2+材料价格!N30*2+材料价格!H6</f>
        <v>20</v>
      </c>
      <c r="G18" s="169"/>
      <c r="H18" s="166">
        <f t="shared" si="0"/>
        <v>-20</v>
      </c>
      <c r="I18" s="164">
        <f t="shared" si="1"/>
        <v>-1.3</v>
      </c>
      <c r="J18" s="165" t="s">
        <v>395</v>
      </c>
      <c r="K18" s="167">
        <v>3</v>
      </c>
      <c r="L18" s="166" t="s">
        <v>159</v>
      </c>
      <c r="M18" s="166">
        <v>2</v>
      </c>
      <c r="N18" s="165" t="s">
        <v>169</v>
      </c>
      <c r="O18" s="167">
        <v>2</v>
      </c>
      <c r="P18" s="166" t="s">
        <v>31</v>
      </c>
      <c r="Q18" s="166">
        <v>1</v>
      </c>
      <c r="R18" s="165"/>
      <c r="S18" s="167"/>
    </row>
    <row r="19" spans="1:19">
      <c r="A19" s="151" t="s">
        <v>396</v>
      </c>
      <c r="B19" s="152" t="s">
        <v>221</v>
      </c>
      <c r="C19" s="153">
        <v>1</v>
      </c>
      <c r="D19" s="154">
        <v>25</v>
      </c>
      <c r="E19" s="155" t="s">
        <v>397</v>
      </c>
      <c r="F19" s="156">
        <f>F55+材料价格!K29+材料价格!Q21*5+材料价格!H5</f>
        <v>4.98</v>
      </c>
      <c r="G19" s="157"/>
      <c r="H19" s="154">
        <f t="shared" si="0"/>
        <v>-4.98</v>
      </c>
      <c r="I19" s="152">
        <f t="shared" si="1"/>
        <v>-0.2</v>
      </c>
      <c r="J19" s="153" t="s">
        <v>147</v>
      </c>
      <c r="K19" s="155">
        <v>1</v>
      </c>
      <c r="L19" s="154" t="s">
        <v>163</v>
      </c>
      <c r="M19" s="154">
        <v>1</v>
      </c>
      <c r="N19" s="153" t="s">
        <v>124</v>
      </c>
      <c r="O19" s="155">
        <v>5</v>
      </c>
      <c r="P19" s="154" t="s">
        <v>25</v>
      </c>
      <c r="Q19" s="154">
        <v>5</v>
      </c>
      <c r="R19" s="153"/>
      <c r="S19" s="155"/>
    </row>
    <row r="20" spans="1:19">
      <c r="A20" s="158" t="s">
        <v>398</v>
      </c>
      <c r="B20" s="159" t="s">
        <v>221</v>
      </c>
      <c r="C20" s="160">
        <v>1</v>
      </c>
      <c r="D20" s="72">
        <v>61</v>
      </c>
      <c r="E20" s="161" t="s">
        <v>399</v>
      </c>
      <c r="F20" s="145">
        <f>F57*2+材料价格!N19*2+材料价格!N4*2+材料价格!Q7*10</f>
        <v>0.76</v>
      </c>
      <c r="G20" s="162"/>
      <c r="H20" s="72">
        <f t="shared" si="0"/>
        <v>-0.76</v>
      </c>
      <c r="I20" s="159">
        <f t="shared" si="1"/>
        <v>0</v>
      </c>
      <c r="J20" s="160" t="s">
        <v>157</v>
      </c>
      <c r="K20" s="161">
        <v>2</v>
      </c>
      <c r="L20" s="72" t="s">
        <v>111</v>
      </c>
      <c r="M20" s="72">
        <v>2</v>
      </c>
      <c r="N20" s="160" t="s">
        <v>21</v>
      </c>
      <c r="O20" s="161">
        <v>2</v>
      </c>
      <c r="P20" s="72" t="s">
        <v>40</v>
      </c>
      <c r="Q20" s="72">
        <v>10</v>
      </c>
      <c r="R20" s="160"/>
      <c r="S20" s="161"/>
    </row>
    <row r="21" spans="1:19">
      <c r="A21" s="158" t="s">
        <v>400</v>
      </c>
      <c r="B21" s="159" t="s">
        <v>221</v>
      </c>
      <c r="C21" s="160">
        <v>1</v>
      </c>
      <c r="D21" s="72">
        <v>61</v>
      </c>
      <c r="E21" s="161" t="s">
        <v>401</v>
      </c>
      <c r="F21" s="145">
        <f>F58+材料价格!N6+材料价格!H32+材料价格!H6*4</f>
        <v>20</v>
      </c>
      <c r="G21" s="162"/>
      <c r="H21" s="72">
        <f t="shared" si="0"/>
        <v>-20</v>
      </c>
      <c r="I21" s="159">
        <f t="shared" si="1"/>
        <v>-0.3</v>
      </c>
      <c r="J21" s="160" t="s">
        <v>368</v>
      </c>
      <c r="K21" s="161">
        <v>1</v>
      </c>
      <c r="L21" s="72" t="s">
        <v>33</v>
      </c>
      <c r="M21" s="72">
        <v>1</v>
      </c>
      <c r="N21" s="160" t="s">
        <v>177</v>
      </c>
      <c r="O21" s="161">
        <v>1</v>
      </c>
      <c r="P21" s="72" t="s">
        <v>31</v>
      </c>
      <c r="Q21" s="72">
        <v>4</v>
      </c>
      <c r="R21" s="160"/>
      <c r="S21" s="161"/>
    </row>
    <row r="22" spans="1:19">
      <c r="A22" s="163" t="s">
        <v>402</v>
      </c>
      <c r="B22" s="164" t="s">
        <v>221</v>
      </c>
      <c r="C22" s="165">
        <v>1</v>
      </c>
      <c r="D22" s="166">
        <v>61</v>
      </c>
      <c r="E22" s="167" t="s">
        <v>403</v>
      </c>
      <c r="F22" s="168">
        <f>F58+材料价格!N6+材料价格!H30+材料价格!H6*4</f>
        <v>20</v>
      </c>
      <c r="G22" s="169"/>
      <c r="H22" s="166">
        <f t="shared" si="0"/>
        <v>-20</v>
      </c>
      <c r="I22" s="164">
        <f t="shared" si="1"/>
        <v>-0.3</v>
      </c>
      <c r="J22" s="165" t="s">
        <v>368</v>
      </c>
      <c r="K22" s="167">
        <v>1</v>
      </c>
      <c r="L22" s="166" t="s">
        <v>33</v>
      </c>
      <c r="M22" s="166">
        <v>1</v>
      </c>
      <c r="N22" s="165" t="s">
        <v>167</v>
      </c>
      <c r="O22" s="167">
        <v>1</v>
      </c>
      <c r="P22" s="166" t="s">
        <v>31</v>
      </c>
      <c r="Q22" s="166">
        <v>4</v>
      </c>
      <c r="R22" s="165"/>
      <c r="S22" s="167"/>
    </row>
    <row r="23" spans="1:19">
      <c r="A23" s="151" t="s">
        <v>404</v>
      </c>
      <c r="B23" s="152" t="s">
        <v>221</v>
      </c>
      <c r="C23" s="153">
        <v>1</v>
      </c>
      <c r="D23" s="154">
        <v>15</v>
      </c>
      <c r="E23" s="155" t="s">
        <v>405</v>
      </c>
      <c r="F23" s="156">
        <f>材料价格!H18*20+材料价格!H19*20+材料价格!N25*2+材料价格!H29*10+材料价格!H6</f>
        <v>5</v>
      </c>
      <c r="G23" s="157"/>
      <c r="H23" s="154">
        <f t="shared" si="0"/>
        <v>-5</v>
      </c>
      <c r="I23" s="152">
        <f t="shared" si="1"/>
        <v>-0.3</v>
      </c>
      <c r="J23" s="153" t="s">
        <v>103</v>
      </c>
      <c r="K23" s="155">
        <v>20</v>
      </c>
      <c r="L23" s="154" t="s">
        <v>109</v>
      </c>
      <c r="M23" s="154">
        <v>20</v>
      </c>
      <c r="N23" s="153" t="s">
        <v>144</v>
      </c>
      <c r="O23" s="155">
        <v>2</v>
      </c>
      <c r="P23" s="154" t="s">
        <v>162</v>
      </c>
      <c r="Q23" s="154">
        <v>10</v>
      </c>
      <c r="R23" s="153" t="s">
        <v>31</v>
      </c>
      <c r="S23" s="155">
        <v>1</v>
      </c>
    </row>
    <row r="24" spans="1:19">
      <c r="A24" s="158" t="s">
        <v>406</v>
      </c>
      <c r="B24" s="159" t="s">
        <v>221</v>
      </c>
      <c r="C24" s="160">
        <v>1</v>
      </c>
      <c r="D24" s="72">
        <v>15</v>
      </c>
      <c r="E24" s="161" t="s">
        <v>407</v>
      </c>
      <c r="F24" s="145">
        <f>F23*3+材料价格!N25*2+材料价格!N31*2+材料价格!H6</f>
        <v>20</v>
      </c>
      <c r="G24" s="162"/>
      <c r="H24" s="72">
        <f t="shared" si="0"/>
        <v>-20</v>
      </c>
      <c r="I24" s="159">
        <f t="shared" si="1"/>
        <v>-1.3</v>
      </c>
      <c r="J24" s="160" t="s">
        <v>408</v>
      </c>
      <c r="K24" s="161">
        <v>3</v>
      </c>
      <c r="L24" s="72" t="s">
        <v>144</v>
      </c>
      <c r="M24" s="72">
        <v>2</v>
      </c>
      <c r="N24" s="160" t="s">
        <v>174</v>
      </c>
      <c r="O24" s="161">
        <v>2</v>
      </c>
      <c r="P24" s="72" t="s">
        <v>31</v>
      </c>
      <c r="Q24" s="72">
        <v>1</v>
      </c>
      <c r="R24" s="160"/>
      <c r="S24" s="161"/>
    </row>
    <row r="25" spans="1:19">
      <c r="A25" s="158" t="s">
        <v>409</v>
      </c>
      <c r="B25" s="159" t="s">
        <v>221</v>
      </c>
      <c r="C25" s="160">
        <v>1</v>
      </c>
      <c r="D25" s="72">
        <v>15</v>
      </c>
      <c r="E25" s="161" t="s">
        <v>410</v>
      </c>
      <c r="F25" s="145">
        <f>材料价格!H18*20+材料价格!H19*20+材料价格!N28*2+材料价格!H29*10+材料价格!H6</f>
        <v>5</v>
      </c>
      <c r="G25" s="162"/>
      <c r="H25" s="72">
        <f t="shared" si="0"/>
        <v>-5</v>
      </c>
      <c r="I25" s="159">
        <f t="shared" si="1"/>
        <v>-0.3</v>
      </c>
      <c r="J25" s="160" t="s">
        <v>103</v>
      </c>
      <c r="K25" s="161">
        <v>20</v>
      </c>
      <c r="L25" s="72" t="s">
        <v>109</v>
      </c>
      <c r="M25" s="72">
        <v>20</v>
      </c>
      <c r="N25" s="160" t="s">
        <v>159</v>
      </c>
      <c r="O25" s="161">
        <v>2</v>
      </c>
      <c r="P25" s="72" t="s">
        <v>162</v>
      </c>
      <c r="Q25" s="72">
        <v>10</v>
      </c>
      <c r="R25" s="160" t="s">
        <v>31</v>
      </c>
      <c r="S25" s="161">
        <v>1</v>
      </c>
    </row>
    <row r="26" spans="1:19">
      <c r="A26" s="158" t="s">
        <v>411</v>
      </c>
      <c r="B26" s="159" t="s">
        <v>221</v>
      </c>
      <c r="C26" s="160">
        <v>1</v>
      </c>
      <c r="D26" s="72">
        <v>15</v>
      </c>
      <c r="E26" s="161" t="s">
        <v>412</v>
      </c>
      <c r="F26" s="145">
        <f>F25*3+材料价格!N28*2+材料价格!N30*2+材料价格!H6</f>
        <v>20</v>
      </c>
      <c r="G26" s="162"/>
      <c r="H26" s="72">
        <f t="shared" si="0"/>
        <v>-20</v>
      </c>
      <c r="I26" s="159">
        <f t="shared" si="1"/>
        <v>-1.3</v>
      </c>
      <c r="J26" s="160" t="s">
        <v>413</v>
      </c>
      <c r="K26" s="161">
        <v>3</v>
      </c>
      <c r="L26" s="72" t="s">
        <v>159</v>
      </c>
      <c r="M26" s="72">
        <v>2</v>
      </c>
      <c r="N26" s="160" t="s">
        <v>169</v>
      </c>
      <c r="O26" s="161">
        <v>2</v>
      </c>
      <c r="P26" s="72" t="s">
        <v>31</v>
      </c>
      <c r="Q26" s="72">
        <v>1</v>
      </c>
      <c r="R26" s="160"/>
      <c r="S26" s="161"/>
    </row>
    <row r="27" spans="1:19">
      <c r="A27" s="158" t="s">
        <v>414</v>
      </c>
      <c r="B27" s="159" t="s">
        <v>221</v>
      </c>
      <c r="C27" s="160">
        <v>1</v>
      </c>
      <c r="D27" s="72">
        <v>15</v>
      </c>
      <c r="E27" s="161" t="s">
        <v>415</v>
      </c>
      <c r="F27" s="145">
        <f>材料价格!H18*20+材料价格!H19*20+材料价格!N27*2+材料价格!H29*10+材料价格!H6</f>
        <v>5</v>
      </c>
      <c r="G27" s="162"/>
      <c r="H27" s="72">
        <f t="shared" si="0"/>
        <v>-5</v>
      </c>
      <c r="I27" s="159">
        <f t="shared" si="1"/>
        <v>-0.3</v>
      </c>
      <c r="J27" s="160" t="s">
        <v>103</v>
      </c>
      <c r="K27" s="161">
        <v>20</v>
      </c>
      <c r="L27" s="72" t="s">
        <v>109</v>
      </c>
      <c r="M27" s="72">
        <v>20</v>
      </c>
      <c r="N27" s="160" t="s">
        <v>154</v>
      </c>
      <c r="O27" s="161">
        <v>2</v>
      </c>
      <c r="P27" s="72" t="s">
        <v>162</v>
      </c>
      <c r="Q27" s="72">
        <v>10</v>
      </c>
      <c r="R27" s="160" t="s">
        <v>31</v>
      </c>
      <c r="S27" s="161">
        <v>1</v>
      </c>
    </row>
    <row r="28" spans="1:19">
      <c r="A28" s="158" t="s">
        <v>416</v>
      </c>
      <c r="B28" s="159" t="s">
        <v>221</v>
      </c>
      <c r="C28" s="160">
        <v>1</v>
      </c>
      <c r="D28" s="72">
        <v>15</v>
      </c>
      <c r="E28" s="161" t="s">
        <v>417</v>
      </c>
      <c r="F28" s="145">
        <f>F27*3+材料价格!N27*2+材料价格!N29*2+材料价格!H6</f>
        <v>20</v>
      </c>
      <c r="G28" s="162"/>
      <c r="H28" s="72">
        <f t="shared" si="0"/>
        <v>-20</v>
      </c>
      <c r="I28" s="159">
        <f t="shared" si="1"/>
        <v>-1.3</v>
      </c>
      <c r="J28" s="160" t="s">
        <v>418</v>
      </c>
      <c r="K28" s="161">
        <v>3</v>
      </c>
      <c r="L28" s="72" t="s">
        <v>154</v>
      </c>
      <c r="M28" s="72">
        <v>2</v>
      </c>
      <c r="N28" s="160" t="s">
        <v>164</v>
      </c>
      <c r="O28" s="161">
        <v>2</v>
      </c>
      <c r="P28" s="72" t="s">
        <v>31</v>
      </c>
      <c r="Q28" s="72">
        <v>1</v>
      </c>
      <c r="R28" s="160"/>
      <c r="S28" s="161"/>
    </row>
    <row r="29" spans="1:19">
      <c r="A29" s="158" t="s">
        <v>419</v>
      </c>
      <c r="B29" s="159" t="s">
        <v>221</v>
      </c>
      <c r="C29" s="160">
        <v>1</v>
      </c>
      <c r="D29" s="72">
        <v>15</v>
      </c>
      <c r="E29" s="161" t="s">
        <v>420</v>
      </c>
      <c r="F29" s="145">
        <f>材料价格!H18*20+材料价格!H19*20+材料价格!N27*2+材料价格!H29*10+材料价格!H6</f>
        <v>5</v>
      </c>
      <c r="G29" s="162"/>
      <c r="H29" s="72">
        <f t="shared" si="0"/>
        <v>-5</v>
      </c>
      <c r="I29" s="159">
        <f t="shared" si="1"/>
        <v>-0.3</v>
      </c>
      <c r="J29" s="160" t="s">
        <v>103</v>
      </c>
      <c r="K29" s="161">
        <v>20</v>
      </c>
      <c r="L29" s="72" t="s">
        <v>109</v>
      </c>
      <c r="M29" s="72">
        <v>20</v>
      </c>
      <c r="N29" s="160" t="s">
        <v>154</v>
      </c>
      <c r="O29" s="161">
        <v>2</v>
      </c>
      <c r="P29" s="72" t="s">
        <v>162</v>
      </c>
      <c r="Q29" s="72">
        <v>10</v>
      </c>
      <c r="R29" s="160" t="s">
        <v>31</v>
      </c>
      <c r="S29" s="161">
        <v>1</v>
      </c>
    </row>
    <row r="30" spans="1:19">
      <c r="A30" s="158" t="s">
        <v>421</v>
      </c>
      <c r="B30" s="159" t="s">
        <v>221</v>
      </c>
      <c r="C30" s="160">
        <v>1</v>
      </c>
      <c r="D30" s="72">
        <v>15</v>
      </c>
      <c r="E30" s="161" t="s">
        <v>422</v>
      </c>
      <c r="F30" s="145">
        <f>F29*3+材料价格!N27*2+材料价格!N29*2+材料价格!H6</f>
        <v>20</v>
      </c>
      <c r="G30" s="162"/>
      <c r="H30" s="72">
        <f t="shared" si="0"/>
        <v>-20</v>
      </c>
      <c r="I30" s="159">
        <f t="shared" si="1"/>
        <v>-1.3</v>
      </c>
      <c r="J30" s="160" t="s">
        <v>423</v>
      </c>
      <c r="K30" s="161">
        <v>3</v>
      </c>
      <c r="L30" s="72" t="s">
        <v>154</v>
      </c>
      <c r="M30" s="72">
        <v>2</v>
      </c>
      <c r="N30" s="160" t="s">
        <v>164</v>
      </c>
      <c r="O30" s="161">
        <v>2</v>
      </c>
      <c r="P30" s="72" t="s">
        <v>31</v>
      </c>
      <c r="Q30" s="72">
        <v>1</v>
      </c>
      <c r="R30" s="160"/>
      <c r="S30" s="161"/>
    </row>
    <row r="31" spans="1:19">
      <c r="A31" s="158" t="s">
        <v>424</v>
      </c>
      <c r="B31" s="159" t="s">
        <v>221</v>
      </c>
      <c r="C31" s="160">
        <v>1</v>
      </c>
      <c r="D31" s="72">
        <v>15</v>
      </c>
      <c r="E31" s="161" t="s">
        <v>425</v>
      </c>
      <c r="F31" s="145">
        <f>材料价格!H18*20+材料价格!H19*20+材料价格!N28*2+材料价格!H29*10+材料价格!H6</f>
        <v>5</v>
      </c>
      <c r="G31" s="162"/>
      <c r="H31" s="72">
        <f t="shared" si="0"/>
        <v>-5</v>
      </c>
      <c r="I31" s="159">
        <f t="shared" si="1"/>
        <v>-0.3</v>
      </c>
      <c r="J31" s="160" t="s">
        <v>103</v>
      </c>
      <c r="K31" s="161">
        <v>20</v>
      </c>
      <c r="L31" s="72" t="s">
        <v>109</v>
      </c>
      <c r="M31" s="72">
        <v>20</v>
      </c>
      <c r="N31" s="160" t="s">
        <v>159</v>
      </c>
      <c r="O31" s="161">
        <v>2</v>
      </c>
      <c r="P31" s="72" t="s">
        <v>162</v>
      </c>
      <c r="Q31" s="72">
        <v>10</v>
      </c>
      <c r="R31" s="160" t="s">
        <v>31</v>
      </c>
      <c r="S31" s="161">
        <v>1</v>
      </c>
    </row>
    <row r="32" spans="1:19">
      <c r="A32" s="163" t="s">
        <v>426</v>
      </c>
      <c r="B32" s="164" t="s">
        <v>221</v>
      </c>
      <c r="C32" s="165">
        <v>1</v>
      </c>
      <c r="D32" s="166">
        <v>15</v>
      </c>
      <c r="E32" s="167" t="s">
        <v>427</v>
      </c>
      <c r="F32" s="168">
        <f>F31*3+材料价格!N28*2+材料价格!N30*2+材料价格!H6</f>
        <v>20</v>
      </c>
      <c r="G32" s="169"/>
      <c r="H32" s="166">
        <f t="shared" si="0"/>
        <v>-20</v>
      </c>
      <c r="I32" s="164">
        <f t="shared" si="1"/>
        <v>-1.3</v>
      </c>
      <c r="J32" s="165" t="s">
        <v>428</v>
      </c>
      <c r="K32" s="167">
        <v>3</v>
      </c>
      <c r="L32" s="166" t="s">
        <v>159</v>
      </c>
      <c r="M32" s="166">
        <v>2</v>
      </c>
      <c r="N32" s="165" t="s">
        <v>169</v>
      </c>
      <c r="O32" s="167">
        <v>2</v>
      </c>
      <c r="P32" s="166" t="s">
        <v>31</v>
      </c>
      <c r="Q32" s="166">
        <v>1</v>
      </c>
      <c r="R32" s="165"/>
      <c r="S32" s="167"/>
    </row>
    <row r="33" spans="1:19">
      <c r="A33" s="151" t="s">
        <v>429</v>
      </c>
      <c r="B33" s="152" t="s">
        <v>221</v>
      </c>
      <c r="C33" s="153">
        <v>1</v>
      </c>
      <c r="D33" s="154">
        <v>61</v>
      </c>
      <c r="E33" s="155" t="s">
        <v>430</v>
      </c>
      <c r="F33" s="156">
        <f>F59+材料价格!N18*2+材料价格!N4*10+材料价格!H6*5</f>
        <v>26.52</v>
      </c>
      <c r="G33" s="157"/>
      <c r="H33" s="154">
        <f t="shared" si="0"/>
        <v>-26.52</v>
      </c>
      <c r="I33" s="152">
        <f t="shared" si="1"/>
        <v>-0.4</v>
      </c>
      <c r="J33" s="153" t="s">
        <v>431</v>
      </c>
      <c r="K33" s="155">
        <v>1</v>
      </c>
      <c r="L33" s="154" t="s">
        <v>105</v>
      </c>
      <c r="M33" s="154">
        <v>2</v>
      </c>
      <c r="N33" s="153" t="s">
        <v>21</v>
      </c>
      <c r="O33" s="155">
        <v>10</v>
      </c>
      <c r="P33" s="154" t="s">
        <v>31</v>
      </c>
      <c r="Q33" s="154">
        <v>5</v>
      </c>
      <c r="R33" s="153"/>
      <c r="S33" s="155"/>
    </row>
    <row r="34" spans="1:19">
      <c r="A34" s="158" t="s">
        <v>432</v>
      </c>
      <c r="B34" s="159" t="s">
        <v>221</v>
      </c>
      <c r="C34" s="160">
        <v>1</v>
      </c>
      <c r="D34" s="72">
        <v>25</v>
      </c>
      <c r="E34" s="161" t="s">
        <v>433</v>
      </c>
      <c r="F34" s="145">
        <f>F56+材料价格!H33+材料价格!Q18*5+材料价格!H5*5</f>
        <v>2.7</v>
      </c>
      <c r="G34" s="162"/>
      <c r="H34" s="72">
        <f t="shared" si="0"/>
        <v>-2.7</v>
      </c>
      <c r="I34" s="159">
        <f t="shared" si="1"/>
        <v>-0.1</v>
      </c>
      <c r="J34" s="160" t="s">
        <v>152</v>
      </c>
      <c r="K34" s="161">
        <v>1</v>
      </c>
      <c r="L34" s="72" t="s">
        <v>181</v>
      </c>
      <c r="M34" s="72">
        <v>1</v>
      </c>
      <c r="N34" s="160" t="s">
        <v>106</v>
      </c>
      <c r="O34" s="161">
        <v>5</v>
      </c>
      <c r="P34" s="72" t="s">
        <v>25</v>
      </c>
      <c r="Q34" s="72">
        <v>5</v>
      </c>
      <c r="R34" s="160"/>
      <c r="S34" s="161"/>
    </row>
    <row r="35" spans="1:19">
      <c r="A35" s="163" t="s">
        <v>434</v>
      </c>
      <c r="B35" s="164" t="s">
        <v>221</v>
      </c>
      <c r="C35" s="165">
        <v>1</v>
      </c>
      <c r="D35" s="166">
        <v>61</v>
      </c>
      <c r="E35" s="167" t="s">
        <v>435</v>
      </c>
      <c r="F35" s="168">
        <f>F57*2+材料价格!N20*2+材料价格!N4*2+材料价格!Q7*10</f>
        <v>0.76</v>
      </c>
      <c r="G35" s="169"/>
      <c r="H35" s="166">
        <f t="shared" ref="H35:H66" si="2">G35-F35</f>
        <v>-0.76</v>
      </c>
      <c r="I35" s="164">
        <f t="shared" ref="I35:I66" si="3">ROUND(H35/D35,1)</f>
        <v>0</v>
      </c>
      <c r="J35" s="165" t="s">
        <v>157</v>
      </c>
      <c r="K35" s="167">
        <v>2</v>
      </c>
      <c r="L35" s="166" t="s">
        <v>117</v>
      </c>
      <c r="M35" s="166">
        <v>2</v>
      </c>
      <c r="N35" s="165" t="s">
        <v>21</v>
      </c>
      <c r="O35" s="167">
        <v>2</v>
      </c>
      <c r="P35" s="166" t="s">
        <v>40</v>
      </c>
      <c r="Q35" s="166">
        <v>10</v>
      </c>
      <c r="R35" s="165"/>
      <c r="S35" s="167"/>
    </row>
    <row r="36" spans="1:19">
      <c r="A36" s="151" t="s">
        <v>436</v>
      </c>
      <c r="B36" s="152" t="s">
        <v>221</v>
      </c>
      <c r="C36" s="153">
        <v>1</v>
      </c>
      <c r="D36" s="154">
        <v>15</v>
      </c>
      <c r="E36" s="155" t="s">
        <v>437</v>
      </c>
      <c r="F36" s="156">
        <f>材料价格!H18*20+材料价格!H19*20+材料价格!N28*2+材料价格!H29*10+材料价格!H6</f>
        <v>5</v>
      </c>
      <c r="G36" s="157"/>
      <c r="H36" s="154">
        <f t="shared" si="2"/>
        <v>-5</v>
      </c>
      <c r="I36" s="152">
        <f t="shared" si="3"/>
        <v>-0.3</v>
      </c>
      <c r="J36" s="153" t="s">
        <v>103</v>
      </c>
      <c r="K36" s="155">
        <v>20</v>
      </c>
      <c r="L36" s="154" t="s">
        <v>109</v>
      </c>
      <c r="M36" s="154">
        <v>20</v>
      </c>
      <c r="N36" s="153" t="s">
        <v>159</v>
      </c>
      <c r="O36" s="155">
        <v>2</v>
      </c>
      <c r="P36" s="154" t="s">
        <v>162</v>
      </c>
      <c r="Q36" s="154">
        <v>10</v>
      </c>
      <c r="R36" s="153" t="s">
        <v>31</v>
      </c>
      <c r="S36" s="155">
        <v>1</v>
      </c>
    </row>
    <row r="37" spans="1:19">
      <c r="A37" s="158" t="s">
        <v>438</v>
      </c>
      <c r="B37" s="159" t="s">
        <v>221</v>
      </c>
      <c r="C37" s="160">
        <v>1</v>
      </c>
      <c r="D37" s="72">
        <v>15</v>
      </c>
      <c r="E37" s="161" t="s">
        <v>439</v>
      </c>
      <c r="F37" s="145">
        <f>F36*3+材料价格!N28*2+材料价格!N30*2+材料价格!H6</f>
        <v>20</v>
      </c>
      <c r="G37" s="162"/>
      <c r="H37" s="72">
        <f t="shared" si="2"/>
        <v>-20</v>
      </c>
      <c r="I37" s="159">
        <f t="shared" si="3"/>
        <v>-1.3</v>
      </c>
      <c r="J37" s="160" t="s">
        <v>440</v>
      </c>
      <c r="K37" s="161">
        <v>3</v>
      </c>
      <c r="L37" s="72" t="s">
        <v>159</v>
      </c>
      <c r="M37" s="72">
        <v>2</v>
      </c>
      <c r="N37" s="160" t="s">
        <v>169</v>
      </c>
      <c r="O37" s="161">
        <v>2</v>
      </c>
      <c r="P37" s="72" t="s">
        <v>31</v>
      </c>
      <c r="Q37" s="72">
        <v>1</v>
      </c>
      <c r="R37" s="160"/>
      <c r="S37" s="161"/>
    </row>
    <row r="38" spans="1:19">
      <c r="A38" s="158" t="s">
        <v>441</v>
      </c>
      <c r="B38" s="159" t="s">
        <v>221</v>
      </c>
      <c r="C38" s="160">
        <v>1</v>
      </c>
      <c r="D38" s="72">
        <v>15</v>
      </c>
      <c r="E38" s="161" t="s">
        <v>442</v>
      </c>
      <c r="F38" s="145">
        <f>材料价格!H18*20+材料价格!H19*20+材料价格!N25*2+材料价格!H29*10+材料价格!H6</f>
        <v>5</v>
      </c>
      <c r="G38" s="162"/>
      <c r="H38" s="72">
        <f t="shared" si="2"/>
        <v>-5</v>
      </c>
      <c r="I38" s="159">
        <f t="shared" si="3"/>
        <v>-0.3</v>
      </c>
      <c r="J38" s="160" t="s">
        <v>103</v>
      </c>
      <c r="K38" s="161">
        <v>20</v>
      </c>
      <c r="L38" s="72" t="s">
        <v>109</v>
      </c>
      <c r="M38" s="72">
        <v>20</v>
      </c>
      <c r="N38" s="160" t="s">
        <v>144</v>
      </c>
      <c r="O38" s="161">
        <v>2</v>
      </c>
      <c r="P38" s="72" t="s">
        <v>162</v>
      </c>
      <c r="Q38" s="72">
        <v>10</v>
      </c>
      <c r="R38" s="160" t="s">
        <v>31</v>
      </c>
      <c r="S38" s="161">
        <v>1</v>
      </c>
    </row>
    <row r="39" spans="1:19">
      <c r="A39" s="158" t="s">
        <v>443</v>
      </c>
      <c r="B39" s="159" t="s">
        <v>221</v>
      </c>
      <c r="C39" s="160">
        <v>1</v>
      </c>
      <c r="D39" s="72">
        <v>15</v>
      </c>
      <c r="E39" s="161" t="s">
        <v>444</v>
      </c>
      <c r="F39" s="145">
        <f>F38*3+材料价格!N25*2+材料价格!N31*2+材料价格!H6</f>
        <v>20</v>
      </c>
      <c r="G39" s="162"/>
      <c r="H39" s="72">
        <f t="shared" si="2"/>
        <v>-20</v>
      </c>
      <c r="I39" s="159">
        <f t="shared" si="3"/>
        <v>-1.3</v>
      </c>
      <c r="J39" s="160" t="s">
        <v>445</v>
      </c>
      <c r="K39" s="161">
        <v>3</v>
      </c>
      <c r="L39" s="72" t="s">
        <v>144</v>
      </c>
      <c r="M39" s="72">
        <v>2</v>
      </c>
      <c r="N39" s="160" t="s">
        <v>174</v>
      </c>
      <c r="O39" s="161">
        <v>2</v>
      </c>
      <c r="P39" s="72" t="s">
        <v>31</v>
      </c>
      <c r="Q39" s="72">
        <v>1</v>
      </c>
      <c r="R39" s="160"/>
      <c r="S39" s="161"/>
    </row>
    <row r="40" spans="1:19">
      <c r="A40" s="158" t="s">
        <v>446</v>
      </c>
      <c r="B40" s="159" t="s">
        <v>221</v>
      </c>
      <c r="C40" s="160">
        <v>1</v>
      </c>
      <c r="D40" s="72">
        <v>15</v>
      </c>
      <c r="E40" s="161" t="s">
        <v>447</v>
      </c>
      <c r="F40" s="145">
        <f>材料价格!H18*20+材料价格!H19*20+材料价格!N26*2+材料价格!H29*10+材料价格!H6</f>
        <v>5</v>
      </c>
      <c r="G40" s="162"/>
      <c r="H40" s="72">
        <f t="shared" si="2"/>
        <v>-5</v>
      </c>
      <c r="I40" s="159">
        <f t="shared" si="3"/>
        <v>-0.3</v>
      </c>
      <c r="J40" s="160" t="s">
        <v>103</v>
      </c>
      <c r="K40" s="161">
        <v>20</v>
      </c>
      <c r="L40" s="72" t="s">
        <v>109</v>
      </c>
      <c r="M40" s="72">
        <v>20</v>
      </c>
      <c r="N40" s="160" t="s">
        <v>149</v>
      </c>
      <c r="O40" s="161">
        <v>2</v>
      </c>
      <c r="P40" s="72" t="s">
        <v>162</v>
      </c>
      <c r="Q40" s="72">
        <v>10</v>
      </c>
      <c r="R40" s="160" t="s">
        <v>31</v>
      </c>
      <c r="S40" s="161">
        <v>1</v>
      </c>
    </row>
    <row r="41" spans="1:19">
      <c r="A41" s="163" t="s">
        <v>448</v>
      </c>
      <c r="B41" s="164" t="s">
        <v>221</v>
      </c>
      <c r="C41" s="165">
        <v>1</v>
      </c>
      <c r="D41" s="166">
        <v>15</v>
      </c>
      <c r="E41" s="167" t="s">
        <v>449</v>
      </c>
      <c r="F41" s="168">
        <f>F40*3+材料价格!N26*2+材料价格!N32*2+材料价格!H6</f>
        <v>20</v>
      </c>
      <c r="G41" s="169"/>
      <c r="H41" s="166">
        <f t="shared" si="2"/>
        <v>-20</v>
      </c>
      <c r="I41" s="164">
        <f t="shared" si="3"/>
        <v>-1.3</v>
      </c>
      <c r="J41" s="165" t="s">
        <v>450</v>
      </c>
      <c r="K41" s="167">
        <v>3</v>
      </c>
      <c r="L41" s="166" t="s">
        <v>149</v>
      </c>
      <c r="M41" s="166">
        <v>2</v>
      </c>
      <c r="N41" s="165" t="s">
        <v>178</v>
      </c>
      <c r="O41" s="167">
        <v>2</v>
      </c>
      <c r="P41" s="166" t="s">
        <v>31</v>
      </c>
      <c r="Q41" s="166">
        <v>1</v>
      </c>
      <c r="R41" s="165"/>
      <c r="S41" s="167"/>
    </row>
    <row r="42" spans="1:19">
      <c r="A42" s="151" t="s">
        <v>451</v>
      </c>
      <c r="B42" s="152" t="s">
        <v>221</v>
      </c>
      <c r="C42" s="153">
        <v>1</v>
      </c>
      <c r="D42" s="154">
        <v>61</v>
      </c>
      <c r="E42" s="155" t="s">
        <v>452</v>
      </c>
      <c r="F42" s="156">
        <f>F57*2+材料价格!N19*2+材料价格!N4*2+材料价格!Q7*10</f>
        <v>0.76</v>
      </c>
      <c r="G42" s="157"/>
      <c r="H42" s="154">
        <f t="shared" si="2"/>
        <v>-0.76</v>
      </c>
      <c r="I42" s="152">
        <f t="shared" si="3"/>
        <v>0</v>
      </c>
      <c r="J42" s="153" t="s">
        <v>157</v>
      </c>
      <c r="K42" s="155">
        <v>2</v>
      </c>
      <c r="L42" s="154" t="s">
        <v>111</v>
      </c>
      <c r="M42" s="154">
        <v>2</v>
      </c>
      <c r="N42" s="153" t="s">
        <v>21</v>
      </c>
      <c r="O42" s="155">
        <v>2</v>
      </c>
      <c r="P42" s="154" t="s">
        <v>40</v>
      </c>
      <c r="Q42" s="154">
        <v>10</v>
      </c>
      <c r="R42" s="153"/>
      <c r="S42" s="155"/>
    </row>
    <row r="43" spans="1:19">
      <c r="A43" s="158" t="s">
        <v>453</v>
      </c>
      <c r="B43" s="159" t="s">
        <v>221</v>
      </c>
      <c r="C43" s="160">
        <v>1</v>
      </c>
      <c r="D43" s="72">
        <v>25</v>
      </c>
      <c r="E43" s="161" t="s">
        <v>454</v>
      </c>
      <c r="F43" s="145">
        <f>F55+材料价格!H31+材料价格!Q20*5+材料价格!H5*5</f>
        <v>6.5</v>
      </c>
      <c r="G43" s="162"/>
      <c r="H43" s="72">
        <f t="shared" si="2"/>
        <v>-6.5</v>
      </c>
      <c r="I43" s="159">
        <f t="shared" si="3"/>
        <v>-0.3</v>
      </c>
      <c r="J43" s="160" t="s">
        <v>147</v>
      </c>
      <c r="K43" s="161">
        <v>1</v>
      </c>
      <c r="L43" s="72" t="s">
        <v>172</v>
      </c>
      <c r="M43" s="72">
        <v>1</v>
      </c>
      <c r="N43" s="160" t="s">
        <v>118</v>
      </c>
      <c r="O43" s="161">
        <v>5</v>
      </c>
      <c r="P43" s="72" t="s">
        <v>25</v>
      </c>
      <c r="Q43" s="72">
        <v>5</v>
      </c>
      <c r="R43" s="160"/>
      <c r="S43" s="161"/>
    </row>
    <row r="44" spans="1:20">
      <c r="A44" s="163" t="s">
        <v>455</v>
      </c>
      <c r="B44" s="164" t="s">
        <v>221</v>
      </c>
      <c r="C44" s="165">
        <v>1</v>
      </c>
      <c r="D44" s="166">
        <v>61</v>
      </c>
      <c r="E44" s="167" t="s">
        <v>456</v>
      </c>
      <c r="F44" s="168">
        <f>F59+材料价格!N17*2+材料价格!N4*10+材料价格!H6*5</f>
        <v>26.52</v>
      </c>
      <c r="G44" s="169"/>
      <c r="H44" s="166">
        <f t="shared" si="2"/>
        <v>-26.52</v>
      </c>
      <c r="I44" s="164">
        <f t="shared" si="3"/>
        <v>-0.4</v>
      </c>
      <c r="J44" s="165" t="s">
        <v>431</v>
      </c>
      <c r="K44" s="167">
        <v>1</v>
      </c>
      <c r="L44" s="166" t="s">
        <v>99</v>
      </c>
      <c r="M44" s="166">
        <v>2</v>
      </c>
      <c r="N44" s="165" t="s">
        <v>21</v>
      </c>
      <c r="O44" s="167">
        <v>10</v>
      </c>
      <c r="P44" s="166" t="s">
        <v>31</v>
      </c>
      <c r="Q44" s="166">
        <v>5</v>
      </c>
      <c r="R44" s="165"/>
      <c r="S44" s="167"/>
      <c r="T44" s="72"/>
    </row>
    <row r="45" spans="1:19">
      <c r="A45" s="151" t="s">
        <v>457</v>
      </c>
      <c r="B45" s="152" t="s">
        <v>221</v>
      </c>
      <c r="C45" s="153">
        <v>1</v>
      </c>
      <c r="D45" s="154">
        <v>15</v>
      </c>
      <c r="E45" s="155" t="s">
        <v>458</v>
      </c>
      <c r="F45" s="156">
        <f>材料价格!H18*20+材料价格!H19*20+材料价格!N25*2+材料价格!H29*10+材料价格!H6</f>
        <v>5</v>
      </c>
      <c r="G45" s="157"/>
      <c r="H45" s="154">
        <f t="shared" si="2"/>
        <v>-5</v>
      </c>
      <c r="I45" s="152">
        <f t="shared" si="3"/>
        <v>-0.3</v>
      </c>
      <c r="J45" s="153" t="s">
        <v>103</v>
      </c>
      <c r="K45" s="155">
        <v>20</v>
      </c>
      <c r="L45" s="154" t="s">
        <v>109</v>
      </c>
      <c r="M45" s="154">
        <v>20</v>
      </c>
      <c r="N45" s="153" t="s">
        <v>144</v>
      </c>
      <c r="O45" s="155">
        <v>2</v>
      </c>
      <c r="P45" s="154" t="s">
        <v>162</v>
      </c>
      <c r="Q45" s="154">
        <v>10</v>
      </c>
      <c r="R45" s="153" t="s">
        <v>31</v>
      </c>
      <c r="S45" s="155">
        <v>1</v>
      </c>
    </row>
    <row r="46" spans="1:19">
      <c r="A46" s="158" t="s">
        <v>459</v>
      </c>
      <c r="B46" s="159" t="s">
        <v>221</v>
      </c>
      <c r="C46" s="160">
        <v>1</v>
      </c>
      <c r="D46" s="72">
        <v>15</v>
      </c>
      <c r="E46" s="161" t="s">
        <v>460</v>
      </c>
      <c r="F46" s="145">
        <f>F45*3+材料价格!N25*2+材料价格!N31*2+材料价格!H6</f>
        <v>20</v>
      </c>
      <c r="G46" s="162"/>
      <c r="H46" s="72">
        <f t="shared" si="2"/>
        <v>-20</v>
      </c>
      <c r="I46" s="159">
        <f t="shared" si="3"/>
        <v>-1.3</v>
      </c>
      <c r="J46" s="160" t="s">
        <v>461</v>
      </c>
      <c r="K46" s="161">
        <v>3</v>
      </c>
      <c r="L46" s="72" t="s">
        <v>144</v>
      </c>
      <c r="M46" s="72">
        <v>2</v>
      </c>
      <c r="N46" s="160" t="s">
        <v>174</v>
      </c>
      <c r="O46" s="161">
        <v>2</v>
      </c>
      <c r="P46" s="72" t="s">
        <v>31</v>
      </c>
      <c r="Q46" s="72">
        <v>1</v>
      </c>
      <c r="R46" s="160"/>
      <c r="S46" s="161"/>
    </row>
    <row r="47" spans="1:19">
      <c r="A47" s="158" t="s">
        <v>462</v>
      </c>
      <c r="B47" s="159" t="s">
        <v>221</v>
      </c>
      <c r="C47" s="160">
        <v>1</v>
      </c>
      <c r="D47" s="72">
        <v>15</v>
      </c>
      <c r="E47" s="161" t="s">
        <v>463</v>
      </c>
      <c r="F47" s="145">
        <f>材料价格!H18*20+材料价格!H19*20+材料价格!N26*2+材料价格!H29*10+材料价格!H6</f>
        <v>5</v>
      </c>
      <c r="G47" s="162"/>
      <c r="H47" s="72">
        <f t="shared" si="2"/>
        <v>-5</v>
      </c>
      <c r="I47" s="159">
        <f t="shared" si="3"/>
        <v>-0.3</v>
      </c>
      <c r="J47" s="160" t="s">
        <v>103</v>
      </c>
      <c r="K47" s="161">
        <v>20</v>
      </c>
      <c r="L47" s="72" t="s">
        <v>109</v>
      </c>
      <c r="M47" s="72">
        <v>20</v>
      </c>
      <c r="N47" s="160" t="s">
        <v>149</v>
      </c>
      <c r="O47" s="161">
        <v>2</v>
      </c>
      <c r="P47" s="72" t="s">
        <v>162</v>
      </c>
      <c r="Q47" s="72">
        <v>10</v>
      </c>
      <c r="R47" s="160" t="s">
        <v>31</v>
      </c>
      <c r="S47" s="161">
        <v>1</v>
      </c>
    </row>
    <row r="48" spans="1:19">
      <c r="A48" s="158" t="s">
        <v>464</v>
      </c>
      <c r="B48" s="159" t="s">
        <v>221</v>
      </c>
      <c r="C48" s="160">
        <v>1</v>
      </c>
      <c r="D48" s="72">
        <v>15</v>
      </c>
      <c r="E48" s="161" t="s">
        <v>465</v>
      </c>
      <c r="F48" s="145">
        <f>F47*3+材料价格!N26*2+材料价格!N32*2+材料价格!H6</f>
        <v>20</v>
      </c>
      <c r="G48" s="162"/>
      <c r="H48" s="72">
        <f t="shared" si="2"/>
        <v>-20</v>
      </c>
      <c r="I48" s="159">
        <f t="shared" si="3"/>
        <v>-1.3</v>
      </c>
      <c r="J48" s="160" t="s">
        <v>466</v>
      </c>
      <c r="K48" s="161">
        <v>3</v>
      </c>
      <c r="L48" s="72" t="s">
        <v>149</v>
      </c>
      <c r="M48" s="72">
        <v>2</v>
      </c>
      <c r="N48" s="160" t="s">
        <v>178</v>
      </c>
      <c r="O48" s="161">
        <v>2</v>
      </c>
      <c r="P48" s="72" t="s">
        <v>31</v>
      </c>
      <c r="Q48" s="72">
        <v>1</v>
      </c>
      <c r="R48" s="160"/>
      <c r="S48" s="161"/>
    </row>
    <row r="49" spans="1:19">
      <c r="A49" s="158" t="s">
        <v>467</v>
      </c>
      <c r="B49" s="159" t="s">
        <v>221</v>
      </c>
      <c r="C49" s="160">
        <v>1</v>
      </c>
      <c r="D49" s="72">
        <v>15</v>
      </c>
      <c r="E49" s="161" t="s">
        <v>468</v>
      </c>
      <c r="F49" s="145">
        <f>材料价格!H18*20+材料价格!H19*20+材料价格!N27*2+材料价格!H29*10+材料价格!H6</f>
        <v>5</v>
      </c>
      <c r="G49" s="162"/>
      <c r="H49" s="72">
        <f t="shared" si="2"/>
        <v>-5</v>
      </c>
      <c r="I49" s="159">
        <f t="shared" si="3"/>
        <v>-0.3</v>
      </c>
      <c r="J49" s="160" t="s">
        <v>103</v>
      </c>
      <c r="K49" s="161">
        <v>20</v>
      </c>
      <c r="L49" s="72" t="s">
        <v>109</v>
      </c>
      <c r="M49" s="72">
        <v>20</v>
      </c>
      <c r="N49" s="160" t="s">
        <v>154</v>
      </c>
      <c r="O49" s="161">
        <v>2</v>
      </c>
      <c r="P49" s="72" t="s">
        <v>162</v>
      </c>
      <c r="Q49" s="72">
        <v>10</v>
      </c>
      <c r="R49" s="160" t="s">
        <v>31</v>
      </c>
      <c r="S49" s="161">
        <v>1</v>
      </c>
    </row>
    <row r="50" spans="1:19">
      <c r="A50" s="163" t="s">
        <v>469</v>
      </c>
      <c r="B50" s="164" t="s">
        <v>221</v>
      </c>
      <c r="C50" s="165">
        <v>1</v>
      </c>
      <c r="D50" s="166">
        <v>15</v>
      </c>
      <c r="E50" s="167" t="s">
        <v>470</v>
      </c>
      <c r="F50" s="168">
        <f>F49*3+材料价格!N27*2+材料价格!N29*2+材料价格!H6</f>
        <v>20</v>
      </c>
      <c r="G50" s="169"/>
      <c r="H50" s="166">
        <f t="shared" si="2"/>
        <v>-20</v>
      </c>
      <c r="I50" s="164">
        <f t="shared" si="3"/>
        <v>-1.3</v>
      </c>
      <c r="J50" s="165" t="s">
        <v>471</v>
      </c>
      <c r="K50" s="167">
        <v>3</v>
      </c>
      <c r="L50" s="166" t="s">
        <v>154</v>
      </c>
      <c r="M50" s="166">
        <v>2</v>
      </c>
      <c r="N50" s="165" t="s">
        <v>164</v>
      </c>
      <c r="O50" s="167">
        <v>2</v>
      </c>
      <c r="P50" s="166" t="s">
        <v>31</v>
      </c>
      <c r="Q50" s="166">
        <v>1</v>
      </c>
      <c r="R50" s="165"/>
      <c r="S50" s="167"/>
    </row>
    <row r="51" spans="1:19">
      <c r="A51" s="151" t="s">
        <v>472</v>
      </c>
      <c r="B51" s="152" t="s">
        <v>342</v>
      </c>
      <c r="C51" s="153">
        <v>1</v>
      </c>
      <c r="D51" s="154">
        <v>2</v>
      </c>
      <c r="E51" s="155"/>
      <c r="F51" s="156">
        <f>材料价格!H8*5+材料价格!H9*5+材料价格!H4</f>
        <v>0.16</v>
      </c>
      <c r="G51" s="157"/>
      <c r="H51" s="154">
        <f t="shared" si="2"/>
        <v>-0.16</v>
      </c>
      <c r="I51" s="152">
        <f t="shared" si="3"/>
        <v>-0.1</v>
      </c>
      <c r="J51" s="153" t="s">
        <v>43</v>
      </c>
      <c r="K51" s="155">
        <v>5</v>
      </c>
      <c r="L51" s="154" t="s">
        <v>49</v>
      </c>
      <c r="M51" s="154">
        <v>5</v>
      </c>
      <c r="N51" s="153" t="s">
        <v>19</v>
      </c>
      <c r="O51" s="155">
        <v>1</v>
      </c>
      <c r="P51" s="154"/>
      <c r="Q51" s="154"/>
      <c r="R51" s="153"/>
      <c r="S51" s="155"/>
    </row>
    <row r="52" spans="1:19">
      <c r="A52" s="158" t="s">
        <v>473</v>
      </c>
      <c r="B52" s="159" t="s">
        <v>342</v>
      </c>
      <c r="C52" s="160">
        <v>1</v>
      </c>
      <c r="D52" s="72">
        <v>2</v>
      </c>
      <c r="E52" s="161"/>
      <c r="F52" s="145">
        <f>材料价格!H10*5+材料价格!H11*5+材料价格!H4</f>
        <v>0.16</v>
      </c>
      <c r="G52" s="162"/>
      <c r="H52" s="72">
        <f t="shared" si="2"/>
        <v>-0.16</v>
      </c>
      <c r="I52" s="159">
        <f t="shared" si="3"/>
        <v>-0.1</v>
      </c>
      <c r="J52" s="160" t="s">
        <v>55</v>
      </c>
      <c r="K52" s="161">
        <v>5</v>
      </c>
      <c r="L52" s="72" t="s">
        <v>61</v>
      </c>
      <c r="M52" s="72">
        <v>5</v>
      </c>
      <c r="N52" s="160" t="s">
        <v>19</v>
      </c>
      <c r="O52" s="161">
        <v>1</v>
      </c>
      <c r="P52" s="72"/>
      <c r="Q52" s="72"/>
      <c r="R52" s="160"/>
      <c r="S52" s="161"/>
    </row>
    <row r="53" spans="1:19">
      <c r="A53" s="158" t="s">
        <v>137</v>
      </c>
      <c r="B53" s="159" t="s">
        <v>342</v>
      </c>
      <c r="C53" s="160">
        <v>1</v>
      </c>
      <c r="D53" s="72">
        <v>2</v>
      </c>
      <c r="E53" s="161"/>
      <c r="F53" s="145">
        <f>材料价格!H12*10+材料价格!H13*10+材料价格!K31+材料价格!H5*5</f>
        <v>1.9</v>
      </c>
      <c r="G53" s="162"/>
      <c r="H53" s="72">
        <f t="shared" si="2"/>
        <v>-1.9</v>
      </c>
      <c r="I53" s="159">
        <f t="shared" si="3"/>
        <v>-1</v>
      </c>
      <c r="J53" s="160" t="s">
        <v>67</v>
      </c>
      <c r="K53" s="161">
        <v>10</v>
      </c>
      <c r="L53" s="72" t="s">
        <v>73</v>
      </c>
      <c r="M53" s="72">
        <v>10</v>
      </c>
      <c r="N53" s="160" t="s">
        <v>173</v>
      </c>
      <c r="O53" s="161">
        <v>1</v>
      </c>
      <c r="P53" s="72" t="s">
        <v>25</v>
      </c>
      <c r="Q53" s="72">
        <v>5</v>
      </c>
      <c r="R53" s="160"/>
      <c r="S53" s="161"/>
    </row>
    <row r="54" spans="1:19">
      <c r="A54" s="158" t="s">
        <v>142</v>
      </c>
      <c r="B54" s="159" t="s">
        <v>342</v>
      </c>
      <c r="C54" s="160">
        <v>1</v>
      </c>
      <c r="D54" s="72">
        <v>2</v>
      </c>
      <c r="E54" s="161"/>
      <c r="F54" s="145">
        <f>材料价格!H20*5+材料价格!H21*5+材料价格!H22*5+材料价格!H23*5+材料价格!H4*5</f>
        <v>0.8</v>
      </c>
      <c r="G54" s="162"/>
      <c r="H54" s="72">
        <f t="shared" si="2"/>
        <v>-0.8</v>
      </c>
      <c r="I54" s="159">
        <f t="shared" si="3"/>
        <v>-0.4</v>
      </c>
      <c r="J54" s="160" t="s">
        <v>115</v>
      </c>
      <c r="K54" s="161">
        <v>5</v>
      </c>
      <c r="L54" s="72" t="s">
        <v>121</v>
      </c>
      <c r="M54" s="72">
        <v>5</v>
      </c>
      <c r="N54" s="160" t="s">
        <v>127</v>
      </c>
      <c r="O54" s="161">
        <v>5</v>
      </c>
      <c r="P54" s="72" t="s">
        <v>132</v>
      </c>
      <c r="Q54" s="72">
        <v>5</v>
      </c>
      <c r="R54" s="160" t="s">
        <v>19</v>
      </c>
      <c r="S54" s="161">
        <v>5</v>
      </c>
    </row>
    <row r="55" spans="1:19">
      <c r="A55" s="158" t="s">
        <v>147</v>
      </c>
      <c r="B55" s="159" t="s">
        <v>342</v>
      </c>
      <c r="C55" s="160">
        <v>1</v>
      </c>
      <c r="D55" s="72">
        <v>2</v>
      </c>
      <c r="E55" s="161"/>
      <c r="F55" s="145">
        <f>F53*2+材料价格!E42+材料价格!H30+材料价格!H4*5</f>
        <v>4.6</v>
      </c>
      <c r="G55" s="162"/>
      <c r="H55" s="72">
        <f t="shared" si="2"/>
        <v>-4.6</v>
      </c>
      <c r="I55" s="159">
        <f t="shared" si="3"/>
        <v>-2.3</v>
      </c>
      <c r="J55" s="160" t="s">
        <v>137</v>
      </c>
      <c r="K55" s="161">
        <v>2</v>
      </c>
      <c r="L55" s="72" t="s">
        <v>199</v>
      </c>
      <c r="M55" s="72">
        <v>1</v>
      </c>
      <c r="N55" s="160" t="s">
        <v>167</v>
      </c>
      <c r="O55" s="161">
        <v>1</v>
      </c>
      <c r="P55" s="72" t="s">
        <v>19</v>
      </c>
      <c r="Q55" s="72">
        <v>5</v>
      </c>
      <c r="R55" s="160"/>
      <c r="S55" s="161"/>
    </row>
    <row r="56" spans="1:19">
      <c r="A56" s="158" t="s">
        <v>152</v>
      </c>
      <c r="B56" s="159" t="s">
        <v>342</v>
      </c>
      <c r="C56" s="160">
        <v>1</v>
      </c>
      <c r="D56" s="72">
        <v>2</v>
      </c>
      <c r="E56" s="161"/>
      <c r="F56" s="145">
        <f>材料价格!H26*2+材料价格!Q14+材料价格!H32+材料价格!H33+材料价格!H4*5</f>
        <v>0.8</v>
      </c>
      <c r="G56" s="162"/>
      <c r="H56" s="72">
        <f t="shared" si="2"/>
        <v>-0.8</v>
      </c>
      <c r="I56" s="159">
        <f t="shared" si="3"/>
        <v>-0.4</v>
      </c>
      <c r="J56" s="160" t="s">
        <v>142</v>
      </c>
      <c r="K56" s="161">
        <v>2</v>
      </c>
      <c r="L56" s="72" t="s">
        <v>82</v>
      </c>
      <c r="M56" s="72">
        <v>1</v>
      </c>
      <c r="N56" s="160" t="s">
        <v>177</v>
      </c>
      <c r="O56" s="161">
        <v>1</v>
      </c>
      <c r="P56" s="72" t="s">
        <v>181</v>
      </c>
      <c r="Q56" s="72">
        <v>1</v>
      </c>
      <c r="R56" s="160" t="s">
        <v>19</v>
      </c>
      <c r="S56" s="161">
        <v>5</v>
      </c>
    </row>
    <row r="57" spans="1:19">
      <c r="A57" s="163" t="s">
        <v>157</v>
      </c>
      <c r="B57" s="164" t="s">
        <v>342</v>
      </c>
      <c r="C57" s="165">
        <v>1</v>
      </c>
      <c r="D57" s="166">
        <v>2</v>
      </c>
      <c r="E57" s="167"/>
      <c r="F57" s="168">
        <f>材料价格!H14*5+材料价格!H15*5+材料价格!H5</f>
        <v>0.38</v>
      </c>
      <c r="G57" s="169"/>
      <c r="H57" s="166">
        <f t="shared" si="2"/>
        <v>-0.38</v>
      </c>
      <c r="I57" s="164">
        <f t="shared" si="3"/>
        <v>-0.2</v>
      </c>
      <c r="J57" s="165" t="s">
        <v>79</v>
      </c>
      <c r="K57" s="167">
        <v>5</v>
      </c>
      <c r="L57" s="166" t="s">
        <v>85</v>
      </c>
      <c r="M57" s="166">
        <v>5</v>
      </c>
      <c r="N57" s="165" t="s">
        <v>25</v>
      </c>
      <c r="O57" s="167">
        <v>1</v>
      </c>
      <c r="P57" s="166"/>
      <c r="Q57" s="166"/>
      <c r="R57" s="165"/>
      <c r="S57" s="167"/>
    </row>
    <row r="58" spans="1:19">
      <c r="A58" s="151" t="s">
        <v>368</v>
      </c>
      <c r="B58" s="152" t="s">
        <v>342</v>
      </c>
      <c r="C58" s="153">
        <v>5</v>
      </c>
      <c r="D58" s="154">
        <v>21</v>
      </c>
      <c r="E58" s="155"/>
      <c r="F58" s="156">
        <f>(材料价格!H16*2+材料价格!H17*20+材料价格!N6)/5</f>
        <v>0</v>
      </c>
      <c r="G58" s="157"/>
      <c r="H58" s="154">
        <f t="shared" si="2"/>
        <v>0</v>
      </c>
      <c r="I58" s="152">
        <f t="shared" si="3"/>
        <v>0</v>
      </c>
      <c r="J58" s="153" t="s">
        <v>91</v>
      </c>
      <c r="K58" s="155">
        <v>20</v>
      </c>
      <c r="L58" s="154" t="s">
        <v>97</v>
      </c>
      <c r="M58" s="154">
        <v>20</v>
      </c>
      <c r="N58" s="153" t="s">
        <v>33</v>
      </c>
      <c r="O58" s="155">
        <v>1</v>
      </c>
      <c r="P58" s="154"/>
      <c r="Q58" s="154"/>
      <c r="R58" s="153"/>
      <c r="S58" s="155"/>
    </row>
    <row r="59" spans="1:19">
      <c r="A59" s="158" t="s">
        <v>431</v>
      </c>
      <c r="B59" s="159" t="s">
        <v>342</v>
      </c>
      <c r="C59" s="160">
        <v>1</v>
      </c>
      <c r="D59" s="72">
        <v>2</v>
      </c>
      <c r="E59" s="161"/>
      <c r="F59" s="145">
        <f>F57*4+材料价格!N4*5</f>
        <v>1.52</v>
      </c>
      <c r="G59" s="162"/>
      <c r="H59" s="72">
        <f t="shared" si="2"/>
        <v>-1.52</v>
      </c>
      <c r="I59" s="159">
        <f t="shared" si="3"/>
        <v>-0.8</v>
      </c>
      <c r="J59" s="160" t="s">
        <v>157</v>
      </c>
      <c r="K59" s="161">
        <v>4</v>
      </c>
      <c r="L59" s="72" t="s">
        <v>21</v>
      </c>
      <c r="M59" s="72">
        <v>5</v>
      </c>
      <c r="N59" s="160"/>
      <c r="O59" s="161"/>
      <c r="P59" s="72"/>
      <c r="Q59" s="72"/>
      <c r="R59" s="160"/>
      <c r="S59" s="161"/>
    </row>
    <row r="60" spans="1:19">
      <c r="A60" s="158" t="s">
        <v>474</v>
      </c>
      <c r="B60" s="159" t="s">
        <v>342</v>
      </c>
      <c r="C60" s="160">
        <v>1</v>
      </c>
      <c r="D60" s="72">
        <v>21</v>
      </c>
      <c r="E60" s="161"/>
      <c r="F60" s="145">
        <f>F59*5+材料价格!N4*50+材料价格!N8+F74*4+F73*4</f>
        <v>7.6</v>
      </c>
      <c r="G60" s="162"/>
      <c r="H60" s="72">
        <f t="shared" si="2"/>
        <v>-7.6</v>
      </c>
      <c r="I60" s="159">
        <f t="shared" si="3"/>
        <v>-0.4</v>
      </c>
      <c r="J60" s="160" t="s">
        <v>431</v>
      </c>
      <c r="K60" s="161">
        <v>5</v>
      </c>
      <c r="L60" s="72" t="s">
        <v>21</v>
      </c>
      <c r="M60" s="72">
        <v>50</v>
      </c>
      <c r="N60" s="160" t="s">
        <v>45</v>
      </c>
      <c r="O60" s="161">
        <v>1</v>
      </c>
      <c r="P60" s="72" t="s">
        <v>117</v>
      </c>
      <c r="Q60" s="72">
        <v>4</v>
      </c>
      <c r="R60" s="160" t="s">
        <v>111</v>
      </c>
      <c r="S60" s="161">
        <v>4</v>
      </c>
    </row>
    <row r="61" spans="1:19">
      <c r="A61" s="170" t="s">
        <v>475</v>
      </c>
      <c r="B61" s="171" t="s">
        <v>342</v>
      </c>
      <c r="C61" s="172">
        <v>1</v>
      </c>
      <c r="D61" s="173">
        <v>80</v>
      </c>
      <c r="E61" s="174"/>
      <c r="F61" s="173">
        <f>材料价格!N29*2+材料价格!N31*2+材料价格!N16+材料价格!N26*4+材料价格!N28*4</f>
        <v>0</v>
      </c>
      <c r="G61" s="175"/>
      <c r="H61" s="173">
        <f t="shared" si="2"/>
        <v>0</v>
      </c>
      <c r="I61" s="171">
        <f t="shared" si="3"/>
        <v>0</v>
      </c>
      <c r="J61" s="172" t="s">
        <v>164</v>
      </c>
      <c r="K61" s="174">
        <v>2</v>
      </c>
      <c r="L61" s="173" t="s">
        <v>174</v>
      </c>
      <c r="M61" s="173">
        <v>2</v>
      </c>
      <c r="N61" s="172" t="s">
        <v>93</v>
      </c>
      <c r="O61" s="174">
        <v>1</v>
      </c>
      <c r="P61" s="173" t="s">
        <v>149</v>
      </c>
      <c r="Q61" s="173">
        <v>4</v>
      </c>
      <c r="R61" s="172" t="s">
        <v>159</v>
      </c>
      <c r="S61" s="174">
        <v>4</v>
      </c>
    </row>
    <row r="62" spans="1:19">
      <c r="A62" s="163" t="s">
        <v>476</v>
      </c>
      <c r="B62" s="164" t="s">
        <v>477</v>
      </c>
      <c r="C62" s="165">
        <v>1</v>
      </c>
      <c r="D62" s="166">
        <v>14</v>
      </c>
      <c r="E62" s="167" t="s">
        <v>478</v>
      </c>
      <c r="F62" s="168">
        <f>材料价格!H8*5+材料价格!H4*5</f>
        <v>0.8</v>
      </c>
      <c r="G62" s="169"/>
      <c r="H62" s="166">
        <f t="shared" si="2"/>
        <v>-0.8</v>
      </c>
      <c r="I62" s="164">
        <f t="shared" si="3"/>
        <v>-0.1</v>
      </c>
      <c r="J62" s="165" t="s">
        <v>43</v>
      </c>
      <c r="K62" s="167">
        <v>5</v>
      </c>
      <c r="L62" s="166" t="s">
        <v>19</v>
      </c>
      <c r="M62" s="166">
        <v>5</v>
      </c>
      <c r="N62" s="165"/>
      <c r="O62" s="167"/>
      <c r="P62" s="166"/>
      <c r="Q62" s="166"/>
      <c r="R62" s="165"/>
      <c r="S62" s="167"/>
    </row>
    <row r="63" spans="1:19">
      <c r="A63" s="151" t="s">
        <v>479</v>
      </c>
      <c r="B63" s="152" t="s">
        <v>480</v>
      </c>
      <c r="C63" s="153">
        <v>1</v>
      </c>
      <c r="D63" s="154">
        <v>21</v>
      </c>
      <c r="E63" s="155"/>
      <c r="F63" s="156">
        <f>F52+F51*2+材料价格!Q17*2+材料价格!H4</f>
        <v>0.64</v>
      </c>
      <c r="G63" s="157"/>
      <c r="H63" s="154">
        <f t="shared" si="2"/>
        <v>-0.64</v>
      </c>
      <c r="I63" s="152">
        <f t="shared" si="3"/>
        <v>0</v>
      </c>
      <c r="J63" s="153" t="s">
        <v>473</v>
      </c>
      <c r="K63" s="155">
        <v>1</v>
      </c>
      <c r="L63" s="154" t="s">
        <v>472</v>
      </c>
      <c r="M63" s="154">
        <v>2</v>
      </c>
      <c r="N63" s="153" t="s">
        <v>100</v>
      </c>
      <c r="O63" s="155">
        <v>2</v>
      </c>
      <c r="P63" s="154" t="s">
        <v>19</v>
      </c>
      <c r="Q63" s="154">
        <v>1</v>
      </c>
      <c r="R63" s="153"/>
      <c r="S63" s="155"/>
    </row>
    <row r="64" spans="1:19">
      <c r="A64" s="158" t="s">
        <v>481</v>
      </c>
      <c r="B64" s="159" t="s">
        <v>480</v>
      </c>
      <c r="C64" s="160">
        <v>1</v>
      </c>
      <c r="D64" s="72">
        <v>21</v>
      </c>
      <c r="E64" s="161"/>
      <c r="F64" s="145">
        <f>F52+F51*2+材料价格!Q17+材料价格!H4</f>
        <v>0.64</v>
      </c>
      <c r="G64" s="162"/>
      <c r="H64" s="72">
        <f t="shared" si="2"/>
        <v>-0.64</v>
      </c>
      <c r="I64" s="159">
        <f t="shared" si="3"/>
        <v>0</v>
      </c>
      <c r="J64" s="160" t="s">
        <v>473</v>
      </c>
      <c r="K64" s="161">
        <v>1</v>
      </c>
      <c r="L64" s="72" t="s">
        <v>472</v>
      </c>
      <c r="M64" s="72">
        <v>2</v>
      </c>
      <c r="N64" s="160" t="s">
        <v>100</v>
      </c>
      <c r="O64" s="161">
        <v>1</v>
      </c>
      <c r="P64" s="72" t="s">
        <v>19</v>
      </c>
      <c r="Q64" s="72">
        <v>1</v>
      </c>
      <c r="R64" s="160"/>
      <c r="S64" s="161"/>
    </row>
    <row r="65" spans="1:19">
      <c r="A65" s="158" t="s">
        <v>482</v>
      </c>
      <c r="B65" s="159" t="s">
        <v>480</v>
      </c>
      <c r="C65" s="160">
        <v>1</v>
      </c>
      <c r="D65" s="72">
        <v>20</v>
      </c>
      <c r="E65" s="161"/>
      <c r="F65" s="145">
        <f>材料价格!H13*10+材料价格!H12*10+材料价格!K29+材料价格!H5*5</f>
        <v>1.9</v>
      </c>
      <c r="G65" s="162"/>
      <c r="H65" s="72">
        <f t="shared" si="2"/>
        <v>-1.9</v>
      </c>
      <c r="I65" s="159">
        <f t="shared" si="3"/>
        <v>-0.1</v>
      </c>
      <c r="J65" s="160" t="s">
        <v>73</v>
      </c>
      <c r="K65" s="161">
        <v>10</v>
      </c>
      <c r="L65" s="72" t="s">
        <v>67</v>
      </c>
      <c r="M65" s="72">
        <v>10</v>
      </c>
      <c r="N65" s="160" t="s">
        <v>163</v>
      </c>
      <c r="O65" s="161">
        <v>1</v>
      </c>
      <c r="P65" s="72" t="s">
        <v>25</v>
      </c>
      <c r="Q65" s="72">
        <v>5</v>
      </c>
      <c r="R65" s="160"/>
      <c r="S65" s="161"/>
    </row>
    <row r="66" spans="1:19">
      <c r="A66" s="158" t="s">
        <v>483</v>
      </c>
      <c r="B66" s="159" t="s">
        <v>480</v>
      </c>
      <c r="C66" s="160">
        <v>1</v>
      </c>
      <c r="D66" s="72">
        <v>20</v>
      </c>
      <c r="E66" s="161"/>
      <c r="F66" s="145">
        <f>材料价格!H13*10+材料价格!H12*10+材料价格!H32+材料价格!H5*5</f>
        <v>1.9</v>
      </c>
      <c r="G66" s="162"/>
      <c r="H66" s="72">
        <f t="shared" si="2"/>
        <v>-1.9</v>
      </c>
      <c r="I66" s="159">
        <f t="shared" si="3"/>
        <v>-0.1</v>
      </c>
      <c r="J66" s="160" t="s">
        <v>73</v>
      </c>
      <c r="K66" s="161">
        <v>10</v>
      </c>
      <c r="L66" s="72" t="s">
        <v>67</v>
      </c>
      <c r="M66" s="72">
        <v>10</v>
      </c>
      <c r="N66" s="160" t="s">
        <v>177</v>
      </c>
      <c r="O66" s="161">
        <v>1</v>
      </c>
      <c r="P66" s="72" t="s">
        <v>25</v>
      </c>
      <c r="Q66" s="72">
        <v>5</v>
      </c>
      <c r="R66" s="160"/>
      <c r="S66" s="161"/>
    </row>
    <row r="67" spans="1:19">
      <c r="A67" s="158" t="s">
        <v>484</v>
      </c>
      <c r="B67" s="159" t="s">
        <v>480</v>
      </c>
      <c r="C67" s="160">
        <v>1</v>
      </c>
      <c r="D67" s="72">
        <v>20</v>
      </c>
      <c r="E67" s="161"/>
      <c r="F67" s="145">
        <f>材料价格!H13*10+材料价格!H12*10+材料价格!B38+材料价格!H5*5</f>
        <v>1.9</v>
      </c>
      <c r="G67" s="162"/>
      <c r="H67" s="72">
        <f t="shared" ref="H67:H74" si="4">G67-F67</f>
        <v>-1.9</v>
      </c>
      <c r="I67" s="159">
        <f t="shared" ref="I67:I74" si="5">ROUND(H67/D67,1)</f>
        <v>-0.1</v>
      </c>
      <c r="J67" s="160" t="s">
        <v>73</v>
      </c>
      <c r="K67" s="161">
        <v>10</v>
      </c>
      <c r="L67" s="72" t="s">
        <v>67</v>
      </c>
      <c r="M67" s="72">
        <v>10</v>
      </c>
      <c r="N67" s="160" t="s">
        <v>190</v>
      </c>
      <c r="O67" s="161">
        <v>1</v>
      </c>
      <c r="P67" s="72" t="s">
        <v>25</v>
      </c>
      <c r="Q67" s="72">
        <v>5</v>
      </c>
      <c r="R67" s="160"/>
      <c r="S67" s="161"/>
    </row>
    <row r="68" spans="1:19">
      <c r="A68" s="158" t="s">
        <v>485</v>
      </c>
      <c r="B68" s="159" t="s">
        <v>480</v>
      </c>
      <c r="C68" s="160">
        <v>1</v>
      </c>
      <c r="D68" s="72">
        <v>20</v>
      </c>
      <c r="E68" s="161"/>
      <c r="F68" s="145">
        <f>材料价格!H13*10+材料价格!H12*10+材料价格!B41+材料价格!H5*5</f>
        <v>1.9</v>
      </c>
      <c r="G68" s="162"/>
      <c r="H68" s="72">
        <f t="shared" si="4"/>
        <v>-1.9</v>
      </c>
      <c r="I68" s="159">
        <f t="shared" si="5"/>
        <v>-0.1</v>
      </c>
      <c r="J68" s="160" t="s">
        <v>73</v>
      </c>
      <c r="K68" s="161">
        <v>10</v>
      </c>
      <c r="L68" s="72" t="s">
        <v>67</v>
      </c>
      <c r="M68" s="72">
        <v>10</v>
      </c>
      <c r="N68" s="160" t="s">
        <v>196</v>
      </c>
      <c r="O68" s="161">
        <v>1</v>
      </c>
      <c r="P68" s="72" t="s">
        <v>25</v>
      </c>
      <c r="Q68" s="72">
        <v>5</v>
      </c>
      <c r="R68" s="160"/>
      <c r="S68" s="161"/>
    </row>
    <row r="69" spans="1:19">
      <c r="A69" s="158" t="s">
        <v>486</v>
      </c>
      <c r="B69" s="159" t="s">
        <v>480</v>
      </c>
      <c r="C69" s="160">
        <v>1</v>
      </c>
      <c r="D69" s="72">
        <v>20</v>
      </c>
      <c r="E69" s="161"/>
      <c r="F69" s="145">
        <f>材料价格!H13*10+材料价格!H12*10+材料价格!E42+材料价格!H5*5</f>
        <v>1.9</v>
      </c>
      <c r="G69" s="162"/>
      <c r="H69" s="72">
        <f t="shared" si="4"/>
        <v>-1.9</v>
      </c>
      <c r="I69" s="159">
        <f t="shared" si="5"/>
        <v>-0.1</v>
      </c>
      <c r="J69" s="160" t="s">
        <v>73</v>
      </c>
      <c r="K69" s="161">
        <v>10</v>
      </c>
      <c r="L69" s="72" t="s">
        <v>67</v>
      </c>
      <c r="M69" s="72">
        <v>10</v>
      </c>
      <c r="N69" s="160" t="s">
        <v>199</v>
      </c>
      <c r="O69" s="161">
        <v>1</v>
      </c>
      <c r="P69" s="72" t="s">
        <v>25</v>
      </c>
      <c r="Q69" s="72">
        <v>5</v>
      </c>
      <c r="R69" s="160"/>
      <c r="S69" s="161"/>
    </row>
    <row r="70" spans="1:19">
      <c r="A70" s="158" t="s">
        <v>487</v>
      </c>
      <c r="B70" s="159" t="s">
        <v>480</v>
      </c>
      <c r="C70" s="160">
        <v>1</v>
      </c>
      <c r="D70" s="72">
        <v>81</v>
      </c>
      <c r="E70" s="161"/>
      <c r="F70" s="145">
        <f>F55+材料价格!N7+材料价格!H5*5</f>
        <v>6.5</v>
      </c>
      <c r="G70" s="162"/>
      <c r="H70" s="72">
        <f t="shared" si="4"/>
        <v>-6.5</v>
      </c>
      <c r="I70" s="159">
        <f t="shared" si="5"/>
        <v>-0.1</v>
      </c>
      <c r="J70" s="160" t="s">
        <v>147</v>
      </c>
      <c r="K70" s="161">
        <v>1</v>
      </c>
      <c r="L70" s="72" t="s">
        <v>39</v>
      </c>
      <c r="M70" s="72">
        <v>1</v>
      </c>
      <c r="N70" s="160" t="s">
        <v>25</v>
      </c>
      <c r="O70" s="161">
        <v>5</v>
      </c>
      <c r="P70" s="72"/>
      <c r="Q70" s="72"/>
      <c r="R70" s="160"/>
      <c r="S70" s="161"/>
    </row>
    <row r="71" spans="1:19">
      <c r="A71" s="158" t="s">
        <v>488</v>
      </c>
      <c r="B71" s="159" t="s">
        <v>480</v>
      </c>
      <c r="C71" s="160">
        <v>1</v>
      </c>
      <c r="D71" s="72">
        <v>61</v>
      </c>
      <c r="E71" s="161"/>
      <c r="F71" s="145">
        <f>F57*10+材料价格!N4*25+材料价格!H7*2</f>
        <v>103.8</v>
      </c>
      <c r="G71" s="162"/>
      <c r="H71" s="72">
        <f t="shared" si="4"/>
        <v>-103.8</v>
      </c>
      <c r="I71" s="159">
        <f t="shared" si="5"/>
        <v>-1.7</v>
      </c>
      <c r="J71" s="160" t="s">
        <v>157</v>
      </c>
      <c r="K71" s="161">
        <v>10</v>
      </c>
      <c r="L71" s="72" t="s">
        <v>21</v>
      </c>
      <c r="M71" s="72">
        <v>25</v>
      </c>
      <c r="N71" s="160" t="s">
        <v>37</v>
      </c>
      <c r="O71" s="161">
        <v>2</v>
      </c>
      <c r="P71" s="72"/>
      <c r="Q71" s="72"/>
      <c r="R71" s="160"/>
      <c r="S71" s="161"/>
    </row>
    <row r="72" spans="1:19">
      <c r="A72" s="163" t="s">
        <v>489</v>
      </c>
      <c r="B72" s="164" t="s">
        <v>480</v>
      </c>
      <c r="C72" s="165">
        <v>1</v>
      </c>
      <c r="D72" s="166">
        <v>81</v>
      </c>
      <c r="E72" s="167" t="s">
        <v>490</v>
      </c>
      <c r="F72" s="168">
        <f>材料价格!H16*20+材料价格!H17*20+材料价格!H6</f>
        <v>5</v>
      </c>
      <c r="G72" s="169"/>
      <c r="H72" s="166">
        <f t="shared" si="4"/>
        <v>-5</v>
      </c>
      <c r="I72" s="164">
        <f t="shared" si="5"/>
        <v>-0.1</v>
      </c>
      <c r="J72" s="165" t="s">
        <v>91</v>
      </c>
      <c r="K72" s="167">
        <v>20</v>
      </c>
      <c r="L72" s="166" t="s">
        <v>97</v>
      </c>
      <c r="M72" s="166">
        <v>20</v>
      </c>
      <c r="N72" s="165" t="s">
        <v>31</v>
      </c>
      <c r="O72" s="167">
        <v>1</v>
      </c>
      <c r="P72" s="166"/>
      <c r="Q72" s="166"/>
      <c r="R72" s="165"/>
      <c r="S72" s="167"/>
    </row>
    <row r="73" spans="1:19">
      <c r="A73" s="151" t="s">
        <v>111</v>
      </c>
      <c r="B73" s="152" t="s">
        <v>342</v>
      </c>
      <c r="C73" s="154">
        <v>1</v>
      </c>
      <c r="D73" s="154">
        <v>9</v>
      </c>
      <c r="E73" s="154"/>
      <c r="F73" s="176">
        <f>材料价格!K28*2+材料价格!H31*2+材料价格!E42*2+材料价格!B40*2</f>
        <v>0</v>
      </c>
      <c r="G73" s="179"/>
      <c r="H73" s="152">
        <f t="shared" si="4"/>
        <v>0</v>
      </c>
      <c r="I73" s="154">
        <f t="shared" si="5"/>
        <v>0</v>
      </c>
      <c r="J73" s="153" t="s">
        <v>158</v>
      </c>
      <c r="K73" s="155">
        <v>2</v>
      </c>
      <c r="L73" s="154" t="s">
        <v>172</v>
      </c>
      <c r="M73" s="154">
        <v>2</v>
      </c>
      <c r="N73" s="153" t="s">
        <v>199</v>
      </c>
      <c r="O73" s="155">
        <v>2</v>
      </c>
      <c r="P73" s="154" t="s">
        <v>194</v>
      </c>
      <c r="Q73" s="154">
        <v>2</v>
      </c>
      <c r="R73" s="153"/>
      <c r="S73" s="155"/>
    </row>
    <row r="74" spans="1:19">
      <c r="A74" s="163" t="s">
        <v>117</v>
      </c>
      <c r="B74" s="164" t="s">
        <v>342</v>
      </c>
      <c r="C74" s="166">
        <v>1</v>
      </c>
      <c r="D74" s="166">
        <v>9</v>
      </c>
      <c r="E74" s="166"/>
      <c r="F74" s="180">
        <f>材料价格!H32*2+材料价格!K31*2+材料价格!E44*2+材料价格!B39*2</f>
        <v>0</v>
      </c>
      <c r="G74" s="181"/>
      <c r="H74" s="164">
        <f t="shared" si="4"/>
        <v>0</v>
      </c>
      <c r="I74" s="166">
        <f t="shared" si="5"/>
        <v>0</v>
      </c>
      <c r="J74" s="165" t="s">
        <v>177</v>
      </c>
      <c r="K74" s="167">
        <v>2</v>
      </c>
      <c r="L74" s="166" t="s">
        <v>173</v>
      </c>
      <c r="M74" s="166">
        <v>2</v>
      </c>
      <c r="N74" s="165" t="s">
        <v>201</v>
      </c>
      <c r="O74" s="167">
        <v>2</v>
      </c>
      <c r="P74" s="166" t="s">
        <v>192</v>
      </c>
      <c r="Q74" s="166">
        <v>2</v>
      </c>
      <c r="R74" s="165"/>
      <c r="S74" s="167"/>
    </row>
  </sheetData>
  <mergeCells count="3">
    <mergeCell ref="A1:E1"/>
    <mergeCell ref="H1:I1"/>
    <mergeCell ref="J1:S1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S50"/>
  <sheetViews>
    <sheetView workbookViewId="0">
      <pane xSplit="1" topLeftCell="B1" activePane="topRight" state="frozen"/>
      <selection/>
      <selection pane="topRight" activeCell="A1" sqref="A1:E1"/>
    </sheetView>
  </sheetViews>
  <sheetFormatPr defaultColWidth="9" defaultRowHeight="17.25"/>
  <cols>
    <col min="1" max="1" width="19.625" style="73" customWidth="1"/>
    <col min="2" max="2" width="7.625" style="74" customWidth="1"/>
    <col min="3" max="4" width="4.625" style="74" customWidth="1"/>
    <col min="5" max="5" width="21.625" style="74" customWidth="1"/>
    <col min="6" max="6" width="9.625" style="74" customWidth="1"/>
    <col min="7" max="7" width="9.625" style="75" customWidth="1"/>
    <col min="8" max="8" width="9.625" style="74" customWidth="1"/>
    <col min="9" max="9" width="10.625" style="74" customWidth="1"/>
    <col min="10" max="10" width="14.625" style="74" customWidth="1"/>
    <col min="11" max="11" width="4.625" style="74" customWidth="1"/>
    <col min="12" max="12" width="10.625" style="74" customWidth="1"/>
    <col min="13" max="13" width="4.625" style="74" customWidth="1"/>
    <col min="14" max="14" width="10.625" style="74" customWidth="1"/>
    <col min="15" max="15" width="4.625" style="74" customWidth="1"/>
    <col min="16" max="16" width="10.625" style="74" customWidth="1"/>
    <col min="17" max="17" width="4.625" style="74" customWidth="1"/>
    <col min="18" max="18" width="10.625" style="74" customWidth="1"/>
    <col min="19" max="19" width="4.625" style="74" customWidth="1"/>
    <col min="20" max="16384" width="9" style="74"/>
  </cols>
  <sheetData>
    <row r="1" s="72" customFormat="1" ht="49.5" spans="1:19">
      <c r="A1" s="76" t="s">
        <v>203</v>
      </c>
      <c r="B1" s="77"/>
      <c r="C1" s="77"/>
      <c r="D1" s="77"/>
      <c r="E1" s="78"/>
      <c r="F1" s="79" t="s">
        <v>204</v>
      </c>
      <c r="G1" s="80" t="s">
        <v>205</v>
      </c>
      <c r="H1" s="81" t="s">
        <v>206</v>
      </c>
      <c r="I1" s="81"/>
      <c r="J1" s="81" t="s">
        <v>203</v>
      </c>
      <c r="K1" s="81"/>
      <c r="L1" s="81"/>
      <c r="M1" s="81"/>
      <c r="N1" s="81"/>
      <c r="O1" s="81"/>
      <c r="P1" s="81"/>
      <c r="Q1" s="81"/>
      <c r="R1" s="81"/>
      <c r="S1" s="81"/>
    </row>
    <row r="2" spans="1:19">
      <c r="A2" s="82" t="s">
        <v>14</v>
      </c>
      <c r="B2" s="82" t="s">
        <v>207</v>
      </c>
      <c r="C2" s="83" t="s">
        <v>208</v>
      </c>
      <c r="D2" s="83" t="s">
        <v>209</v>
      </c>
      <c r="E2" s="83" t="s">
        <v>210</v>
      </c>
      <c r="F2" s="82" t="s">
        <v>211</v>
      </c>
      <c r="G2" s="84" t="s">
        <v>212</v>
      </c>
      <c r="H2" s="83" t="s">
        <v>213</v>
      </c>
      <c r="I2" s="82" t="s">
        <v>214</v>
      </c>
      <c r="J2" s="108" t="s">
        <v>215</v>
      </c>
      <c r="K2" s="109" t="s">
        <v>208</v>
      </c>
      <c r="L2" s="110" t="s">
        <v>216</v>
      </c>
      <c r="M2" s="110" t="s">
        <v>208</v>
      </c>
      <c r="N2" s="108" t="s">
        <v>217</v>
      </c>
      <c r="O2" s="109" t="s">
        <v>208</v>
      </c>
      <c r="P2" s="110" t="s">
        <v>218</v>
      </c>
      <c r="Q2" s="110" t="s">
        <v>208</v>
      </c>
      <c r="R2" s="108" t="s">
        <v>219</v>
      </c>
      <c r="S2" s="109" t="s">
        <v>208</v>
      </c>
    </row>
    <row r="3" spans="1:19">
      <c r="A3" s="85" t="s">
        <v>491</v>
      </c>
      <c r="B3" s="86" t="s">
        <v>492</v>
      </c>
      <c r="C3" s="87">
        <v>1</v>
      </c>
      <c r="D3" s="87">
        <v>15</v>
      </c>
      <c r="E3" s="87" t="s">
        <v>493</v>
      </c>
      <c r="F3" s="86">
        <f>材料价格!E39*15+材料价格!E41+材料价格!E13*5+材料价格!E6</f>
        <v>0.0155</v>
      </c>
      <c r="G3" s="88"/>
      <c r="H3" s="87">
        <f t="shared" ref="H3:H14" si="0">G3-F3</f>
        <v>-0.0155</v>
      </c>
      <c r="I3" s="86">
        <f t="shared" ref="I3:I50" si="1">ROUND(H3/61,1)</f>
        <v>0</v>
      </c>
      <c r="J3" s="111" t="s">
        <v>193</v>
      </c>
      <c r="K3" s="112">
        <v>15</v>
      </c>
      <c r="L3" s="87" t="s">
        <v>197</v>
      </c>
      <c r="M3" s="87">
        <v>1</v>
      </c>
      <c r="N3" s="111" t="s">
        <v>72</v>
      </c>
      <c r="O3" s="112">
        <v>5</v>
      </c>
      <c r="P3" s="87" t="s">
        <v>30</v>
      </c>
      <c r="Q3" s="87">
        <v>1</v>
      </c>
      <c r="R3" s="111"/>
      <c r="S3" s="112"/>
    </row>
    <row r="4" spans="1:19">
      <c r="A4" s="89" t="s">
        <v>494</v>
      </c>
      <c r="B4" s="90" t="s">
        <v>492</v>
      </c>
      <c r="C4" s="74">
        <v>1</v>
      </c>
      <c r="D4" s="74">
        <v>20</v>
      </c>
      <c r="E4" s="74" t="s">
        <v>495</v>
      </c>
      <c r="F4" s="90">
        <f>F3*3+材料价格!N28*3+材料价格!N30+材料价格!E7*5</f>
        <v>0.0565</v>
      </c>
      <c r="G4" s="91"/>
      <c r="H4" s="74">
        <f t="shared" si="0"/>
        <v>-0.0565</v>
      </c>
      <c r="I4" s="90">
        <f t="shared" si="1"/>
        <v>0</v>
      </c>
      <c r="J4" s="113" t="s">
        <v>491</v>
      </c>
      <c r="K4" s="114">
        <v>3</v>
      </c>
      <c r="L4" s="74" t="s">
        <v>159</v>
      </c>
      <c r="M4" s="74">
        <v>3</v>
      </c>
      <c r="N4" s="113" t="s">
        <v>169</v>
      </c>
      <c r="O4" s="114">
        <v>1</v>
      </c>
      <c r="P4" s="74" t="s">
        <v>36</v>
      </c>
      <c r="Q4" s="74">
        <v>5</v>
      </c>
      <c r="R4" s="113"/>
      <c r="S4" s="114"/>
    </row>
    <row r="5" spans="1:19">
      <c r="A5" s="89" t="s">
        <v>496</v>
      </c>
      <c r="B5" s="90" t="s">
        <v>492</v>
      </c>
      <c r="C5" s="74">
        <v>1</v>
      </c>
      <c r="D5" s="74">
        <v>15</v>
      </c>
      <c r="E5" s="74" t="s">
        <v>497</v>
      </c>
      <c r="F5" s="90">
        <f>材料价格!E40*15+材料价格!E41+材料价格!E12*5+材料价格!E7</f>
        <v>0.027</v>
      </c>
      <c r="G5" s="91"/>
      <c r="H5" s="74">
        <f t="shared" si="0"/>
        <v>-0.027</v>
      </c>
      <c r="I5" s="90">
        <f t="shared" si="1"/>
        <v>0</v>
      </c>
      <c r="J5" s="113" t="s">
        <v>195</v>
      </c>
      <c r="K5" s="114">
        <v>15</v>
      </c>
      <c r="L5" s="74" t="s">
        <v>197</v>
      </c>
      <c r="M5" s="74">
        <v>1</v>
      </c>
      <c r="N5" s="113" t="s">
        <v>66</v>
      </c>
      <c r="O5" s="114">
        <v>5</v>
      </c>
      <c r="P5" s="74" t="s">
        <v>36</v>
      </c>
      <c r="Q5" s="74">
        <v>1</v>
      </c>
      <c r="R5" s="113"/>
      <c r="S5" s="114"/>
    </row>
    <row r="6" spans="1:19">
      <c r="A6" s="89" t="s">
        <v>498</v>
      </c>
      <c r="B6" s="90" t="s">
        <v>492</v>
      </c>
      <c r="C6" s="74">
        <v>1</v>
      </c>
      <c r="D6" s="74">
        <v>20</v>
      </c>
      <c r="E6" s="74" t="s">
        <v>499</v>
      </c>
      <c r="F6" s="90">
        <f>F5*3+材料价格!N25*3+材料价格!N31+材料价格!E7*5</f>
        <v>0.091</v>
      </c>
      <c r="G6" s="91"/>
      <c r="H6" s="74">
        <f t="shared" si="0"/>
        <v>-0.091</v>
      </c>
      <c r="I6" s="90">
        <f t="shared" si="1"/>
        <v>0</v>
      </c>
      <c r="J6" s="113" t="s">
        <v>496</v>
      </c>
      <c r="K6" s="114">
        <v>3</v>
      </c>
      <c r="L6" s="74" t="s">
        <v>144</v>
      </c>
      <c r="M6" s="74">
        <v>3</v>
      </c>
      <c r="N6" s="113" t="s">
        <v>174</v>
      </c>
      <c r="O6" s="114">
        <v>1</v>
      </c>
      <c r="P6" s="74" t="s">
        <v>36</v>
      </c>
      <c r="Q6" s="74">
        <v>5</v>
      </c>
      <c r="R6" s="113"/>
      <c r="S6" s="114"/>
    </row>
    <row r="7" spans="1:19">
      <c r="A7" s="89" t="s">
        <v>500</v>
      </c>
      <c r="B7" s="90" t="s">
        <v>492</v>
      </c>
      <c r="C7" s="74">
        <v>3</v>
      </c>
      <c r="D7" s="74">
        <v>61</v>
      </c>
      <c r="E7" s="74" t="s">
        <v>501</v>
      </c>
      <c r="F7" s="90">
        <f>(F31+材料价格!E42+材料价格!E15*5+材料价格!E7)/3</f>
        <v>1.66733333333333</v>
      </c>
      <c r="G7" s="91"/>
      <c r="H7" s="74">
        <f t="shared" si="0"/>
        <v>-1.66733333333333</v>
      </c>
      <c r="I7" s="90">
        <f t="shared" si="1"/>
        <v>0</v>
      </c>
      <c r="J7" s="113" t="s">
        <v>502</v>
      </c>
      <c r="K7" s="114">
        <v>1</v>
      </c>
      <c r="L7" s="74" t="s">
        <v>199</v>
      </c>
      <c r="M7" s="74">
        <v>1</v>
      </c>
      <c r="N7" s="113" t="s">
        <v>84</v>
      </c>
      <c r="O7" s="114">
        <v>5</v>
      </c>
      <c r="P7" s="74" t="s">
        <v>36</v>
      </c>
      <c r="Q7" s="74">
        <v>1</v>
      </c>
      <c r="R7" s="113"/>
      <c r="S7" s="114"/>
    </row>
    <row r="8" spans="1:19">
      <c r="A8" s="89" t="s">
        <v>503</v>
      </c>
      <c r="B8" s="90" t="s">
        <v>492</v>
      </c>
      <c r="C8" s="74">
        <v>3</v>
      </c>
      <c r="D8" s="74">
        <v>61</v>
      </c>
      <c r="E8" s="74" t="s">
        <v>504</v>
      </c>
      <c r="F8" s="90">
        <f>(F31+材料价格!E45+材料价格!E8*5+材料价格!E6)/3</f>
        <v>0.267666666666667</v>
      </c>
      <c r="G8" s="91"/>
      <c r="H8" s="74">
        <f t="shared" si="0"/>
        <v>-0.267666666666667</v>
      </c>
      <c r="I8" s="90">
        <f t="shared" si="1"/>
        <v>0</v>
      </c>
      <c r="J8" s="113" t="s">
        <v>502</v>
      </c>
      <c r="K8" s="114">
        <v>1</v>
      </c>
      <c r="L8" s="74" t="s">
        <v>202</v>
      </c>
      <c r="M8" s="74">
        <v>1</v>
      </c>
      <c r="N8" s="113" t="s">
        <v>42</v>
      </c>
      <c r="O8" s="114">
        <v>5</v>
      </c>
      <c r="P8" s="74" t="s">
        <v>30</v>
      </c>
      <c r="Q8" s="74">
        <v>1</v>
      </c>
      <c r="R8" s="113"/>
      <c r="S8" s="114"/>
    </row>
    <row r="9" spans="1:19">
      <c r="A9" s="89" t="s">
        <v>505</v>
      </c>
      <c r="B9" s="90" t="s">
        <v>492</v>
      </c>
      <c r="C9" s="74">
        <v>1</v>
      </c>
      <c r="D9" s="74">
        <v>15</v>
      </c>
      <c r="E9" s="74" t="s">
        <v>506</v>
      </c>
      <c r="F9" s="90">
        <f>材料价格!E40*15+材料价格!E41+材料价格!E11*5+材料价格!E7</f>
        <v>0.0295</v>
      </c>
      <c r="G9" s="91"/>
      <c r="H9" s="74">
        <f t="shared" si="0"/>
        <v>-0.0295</v>
      </c>
      <c r="I9" s="90">
        <f t="shared" si="1"/>
        <v>0</v>
      </c>
      <c r="J9" s="113" t="s">
        <v>195</v>
      </c>
      <c r="K9" s="114">
        <v>15</v>
      </c>
      <c r="L9" s="74" t="s">
        <v>197</v>
      </c>
      <c r="M9" s="74">
        <v>1</v>
      </c>
      <c r="N9" s="113" t="s">
        <v>60</v>
      </c>
      <c r="O9" s="114">
        <v>5</v>
      </c>
      <c r="P9" s="74" t="s">
        <v>36</v>
      </c>
      <c r="Q9" s="74">
        <v>1</v>
      </c>
      <c r="R9" s="113"/>
      <c r="S9" s="114"/>
    </row>
    <row r="10" spans="1:19">
      <c r="A10" s="89" t="s">
        <v>507</v>
      </c>
      <c r="B10" s="90" t="s">
        <v>492</v>
      </c>
      <c r="C10" s="74">
        <v>1</v>
      </c>
      <c r="D10" s="74">
        <v>20</v>
      </c>
      <c r="E10" s="74" t="s">
        <v>508</v>
      </c>
      <c r="F10" s="90">
        <f>F9*3+材料价格!N27*3+材料价格!N29+材料价格!E7*5</f>
        <v>0.0985</v>
      </c>
      <c r="G10" s="91"/>
      <c r="H10" s="74">
        <f t="shared" si="0"/>
        <v>-0.0985</v>
      </c>
      <c r="I10" s="90">
        <f t="shared" si="1"/>
        <v>0</v>
      </c>
      <c r="J10" s="113" t="s">
        <v>505</v>
      </c>
      <c r="K10" s="114">
        <v>3</v>
      </c>
      <c r="L10" s="74" t="s">
        <v>154</v>
      </c>
      <c r="M10" s="74">
        <v>3</v>
      </c>
      <c r="N10" s="113" t="s">
        <v>164</v>
      </c>
      <c r="O10" s="114">
        <v>1</v>
      </c>
      <c r="P10" s="74" t="s">
        <v>36</v>
      </c>
      <c r="Q10" s="74">
        <v>5</v>
      </c>
      <c r="R10" s="113"/>
      <c r="S10" s="114"/>
    </row>
    <row r="11" spans="1:19">
      <c r="A11" s="89" t="s">
        <v>509</v>
      </c>
      <c r="B11" s="90" t="s">
        <v>492</v>
      </c>
      <c r="C11" s="74">
        <v>1</v>
      </c>
      <c r="D11" s="74">
        <v>15</v>
      </c>
      <c r="E11" s="74" t="s">
        <v>510</v>
      </c>
      <c r="F11" s="90">
        <f>材料价格!E39*15+材料价格!E41+材料价格!E14*5+材料价格!E7</f>
        <v>0.0095</v>
      </c>
      <c r="G11" s="91"/>
      <c r="H11" s="74">
        <f t="shared" si="0"/>
        <v>-0.0095</v>
      </c>
      <c r="I11" s="90">
        <f t="shared" si="1"/>
        <v>0</v>
      </c>
      <c r="J11" s="113" t="s">
        <v>193</v>
      </c>
      <c r="K11" s="114">
        <v>15</v>
      </c>
      <c r="L11" s="74" t="s">
        <v>197</v>
      </c>
      <c r="M11" s="74">
        <v>1</v>
      </c>
      <c r="N11" s="113" t="s">
        <v>78</v>
      </c>
      <c r="O11" s="114">
        <v>1</v>
      </c>
      <c r="P11" s="74" t="s">
        <v>36</v>
      </c>
      <c r="Q11" s="74">
        <v>1</v>
      </c>
      <c r="R11" s="113"/>
      <c r="S11" s="114"/>
    </row>
    <row r="12" spans="1:19">
      <c r="A12" s="89" t="s">
        <v>511</v>
      </c>
      <c r="B12" s="90" t="s">
        <v>492</v>
      </c>
      <c r="C12" s="74">
        <v>1</v>
      </c>
      <c r="D12" s="74">
        <v>20</v>
      </c>
      <c r="E12" s="74" t="s">
        <v>512</v>
      </c>
      <c r="F12" s="90">
        <f>F11*3+材料价格!N26*3+材料价格!N32+材料价格!E7*5</f>
        <v>0.0385</v>
      </c>
      <c r="G12" s="91"/>
      <c r="H12" s="74">
        <f t="shared" si="0"/>
        <v>-0.0385</v>
      </c>
      <c r="I12" s="90">
        <f t="shared" si="1"/>
        <v>0</v>
      </c>
      <c r="J12" s="113" t="s">
        <v>509</v>
      </c>
      <c r="K12" s="114">
        <v>3</v>
      </c>
      <c r="L12" s="74" t="s">
        <v>149</v>
      </c>
      <c r="M12" s="74">
        <v>3</v>
      </c>
      <c r="N12" s="113" t="s">
        <v>178</v>
      </c>
      <c r="O12" s="114">
        <v>1</v>
      </c>
      <c r="P12" s="74" t="s">
        <v>36</v>
      </c>
      <c r="Q12" s="74">
        <v>5</v>
      </c>
      <c r="R12" s="113"/>
      <c r="S12" s="114"/>
    </row>
    <row r="13" spans="1:19">
      <c r="A13" s="89" t="s">
        <v>513</v>
      </c>
      <c r="B13" s="90" t="s">
        <v>492</v>
      </c>
      <c r="C13" s="74">
        <v>3</v>
      </c>
      <c r="D13" s="74">
        <v>61</v>
      </c>
      <c r="E13" s="74" t="s">
        <v>514</v>
      </c>
      <c r="F13" s="90">
        <f>(F31+材料价格!E45+材料价格!E15*5+材料价格!E7)/3</f>
        <v>1.66733333333333</v>
      </c>
      <c r="G13" s="91"/>
      <c r="H13" s="74">
        <f t="shared" si="0"/>
        <v>-1.66733333333333</v>
      </c>
      <c r="I13" s="90">
        <f t="shared" si="1"/>
        <v>0</v>
      </c>
      <c r="J13" s="113" t="s">
        <v>502</v>
      </c>
      <c r="K13" s="114">
        <v>1</v>
      </c>
      <c r="L13" s="74" t="s">
        <v>202</v>
      </c>
      <c r="M13" s="74">
        <v>1</v>
      </c>
      <c r="N13" s="113" t="s">
        <v>84</v>
      </c>
      <c r="O13" s="114">
        <v>5</v>
      </c>
      <c r="P13" s="74" t="s">
        <v>36</v>
      </c>
      <c r="Q13" s="74">
        <v>1</v>
      </c>
      <c r="R13" s="113"/>
      <c r="S13" s="114"/>
    </row>
    <row r="14" spans="1:19">
      <c r="A14" s="89" t="s">
        <v>515</v>
      </c>
      <c r="B14" s="90" t="s">
        <v>492</v>
      </c>
      <c r="C14" s="74">
        <v>3</v>
      </c>
      <c r="D14" s="74">
        <v>61</v>
      </c>
      <c r="E14" s="74" t="s">
        <v>516</v>
      </c>
      <c r="F14" s="90">
        <f>(F31+材料价格!E44+材料价格!E8*5+材料价格!E7)/3</f>
        <v>0.267333333333333</v>
      </c>
      <c r="G14" s="91"/>
      <c r="H14" s="74">
        <f t="shared" si="0"/>
        <v>-0.267333333333333</v>
      </c>
      <c r="I14" s="90">
        <f t="shared" si="1"/>
        <v>0</v>
      </c>
      <c r="J14" s="113" t="s">
        <v>502</v>
      </c>
      <c r="K14" s="114">
        <v>1</v>
      </c>
      <c r="L14" s="74" t="s">
        <v>201</v>
      </c>
      <c r="M14" s="74">
        <v>1</v>
      </c>
      <c r="N14" s="113" t="s">
        <v>42</v>
      </c>
      <c r="O14" s="114">
        <v>5</v>
      </c>
      <c r="P14" s="74" t="s">
        <v>36</v>
      </c>
      <c r="Q14" s="74">
        <v>1</v>
      </c>
      <c r="R14" s="113"/>
      <c r="S14" s="114"/>
    </row>
    <row r="15" spans="1:19">
      <c r="A15" s="89" t="s">
        <v>517</v>
      </c>
      <c r="B15" s="90" t="s">
        <v>492</v>
      </c>
      <c r="C15" s="74">
        <v>1</v>
      </c>
      <c r="D15" s="74">
        <v>15</v>
      </c>
      <c r="E15" s="74" t="s">
        <v>518</v>
      </c>
      <c r="F15" s="90">
        <f>材料价格!E40*15+材料价格!E41+材料价格!E10*5+材料价格!E7</f>
        <v>0.0295</v>
      </c>
      <c r="G15" s="91"/>
      <c r="H15" s="74">
        <f t="shared" ref="H15:H44" si="2">G15-F15</f>
        <v>-0.0295</v>
      </c>
      <c r="I15" s="90">
        <f t="shared" si="1"/>
        <v>0</v>
      </c>
      <c r="J15" s="113" t="s">
        <v>195</v>
      </c>
      <c r="K15" s="114">
        <v>15</v>
      </c>
      <c r="L15" s="74" t="s">
        <v>197</v>
      </c>
      <c r="M15" s="74">
        <v>1</v>
      </c>
      <c r="N15" s="113" t="s">
        <v>54</v>
      </c>
      <c r="O15" s="114">
        <v>5</v>
      </c>
      <c r="P15" s="74" t="s">
        <v>36</v>
      </c>
      <c r="Q15" s="74">
        <v>1</v>
      </c>
      <c r="R15" s="113"/>
      <c r="S15" s="114"/>
    </row>
    <row r="16" spans="1:19">
      <c r="A16" s="89" t="s">
        <v>519</v>
      </c>
      <c r="B16" s="90" t="s">
        <v>492</v>
      </c>
      <c r="C16" s="74">
        <v>1</v>
      </c>
      <c r="D16" s="74">
        <v>20</v>
      </c>
      <c r="E16" s="74" t="s">
        <v>520</v>
      </c>
      <c r="F16" s="90">
        <f>F15*3+材料价格!N26*3+材料价格!N32+材料价格!E7*5</f>
        <v>0.0985</v>
      </c>
      <c r="G16" s="91"/>
      <c r="H16" s="74">
        <f t="shared" si="2"/>
        <v>-0.0985</v>
      </c>
      <c r="I16" s="90">
        <f t="shared" si="1"/>
        <v>0</v>
      </c>
      <c r="J16" s="113" t="s">
        <v>517</v>
      </c>
      <c r="K16" s="114">
        <v>3</v>
      </c>
      <c r="L16" s="74" t="s">
        <v>149</v>
      </c>
      <c r="M16" s="74">
        <v>3</v>
      </c>
      <c r="N16" s="113" t="s">
        <v>178</v>
      </c>
      <c r="O16" s="114">
        <v>1</v>
      </c>
      <c r="P16" s="74" t="s">
        <v>36</v>
      </c>
      <c r="Q16" s="74">
        <v>5</v>
      </c>
      <c r="R16" s="113"/>
      <c r="S16" s="114"/>
    </row>
    <row r="17" spans="1:19">
      <c r="A17" s="89" t="s">
        <v>521</v>
      </c>
      <c r="B17" s="90" t="s">
        <v>492</v>
      </c>
      <c r="C17" s="74">
        <v>1</v>
      </c>
      <c r="D17" s="74">
        <v>15</v>
      </c>
      <c r="E17" s="74" t="s">
        <v>522</v>
      </c>
      <c r="F17" s="90">
        <f>材料价格!E40*15+材料价格!E41+材料价格!E12*5+材料价格!E7</f>
        <v>0.027</v>
      </c>
      <c r="G17" s="91"/>
      <c r="H17" s="74">
        <f t="shared" si="2"/>
        <v>-0.027</v>
      </c>
      <c r="I17" s="90">
        <f t="shared" si="1"/>
        <v>0</v>
      </c>
      <c r="J17" s="113" t="s">
        <v>195</v>
      </c>
      <c r="K17" s="114">
        <v>15</v>
      </c>
      <c r="L17" s="74" t="s">
        <v>197</v>
      </c>
      <c r="M17" s="74">
        <v>1</v>
      </c>
      <c r="N17" s="113" t="s">
        <v>66</v>
      </c>
      <c r="O17" s="114">
        <v>5</v>
      </c>
      <c r="P17" s="74" t="s">
        <v>36</v>
      </c>
      <c r="Q17" s="74">
        <v>1</v>
      </c>
      <c r="R17" s="113"/>
      <c r="S17" s="114"/>
    </row>
    <row r="18" spans="1:19">
      <c r="A18" s="89" t="s">
        <v>523</v>
      </c>
      <c r="B18" s="90" t="s">
        <v>492</v>
      </c>
      <c r="C18" s="74">
        <v>1</v>
      </c>
      <c r="D18" s="74">
        <v>20</v>
      </c>
      <c r="E18" s="74" t="s">
        <v>524</v>
      </c>
      <c r="F18" s="90">
        <f>F17*3+材料价格!N25*3+材料价格!N31+材料价格!E7*5</f>
        <v>0.091</v>
      </c>
      <c r="G18" s="91"/>
      <c r="H18" s="74">
        <f t="shared" si="2"/>
        <v>-0.091</v>
      </c>
      <c r="I18" s="90">
        <f t="shared" si="1"/>
        <v>0</v>
      </c>
      <c r="J18" s="113" t="s">
        <v>521</v>
      </c>
      <c r="K18" s="114">
        <v>3</v>
      </c>
      <c r="L18" s="74" t="s">
        <v>144</v>
      </c>
      <c r="M18" s="74">
        <v>3</v>
      </c>
      <c r="N18" s="113" t="s">
        <v>174</v>
      </c>
      <c r="O18" s="114">
        <v>1</v>
      </c>
      <c r="P18" s="74" t="s">
        <v>36</v>
      </c>
      <c r="Q18" s="74">
        <v>5</v>
      </c>
      <c r="R18" s="113"/>
      <c r="S18" s="114"/>
    </row>
    <row r="19" spans="1:19">
      <c r="A19" s="89" t="s">
        <v>525</v>
      </c>
      <c r="B19" s="90" t="s">
        <v>492</v>
      </c>
      <c r="C19" s="74">
        <v>1</v>
      </c>
      <c r="D19" s="74">
        <v>15</v>
      </c>
      <c r="E19" s="74" t="s">
        <v>526</v>
      </c>
      <c r="F19" s="90">
        <f>材料价格!E40*15+材料价格!E41+材料价格!E14*5+材料价格!E7</f>
        <v>0.0095</v>
      </c>
      <c r="G19" s="91"/>
      <c r="H19" s="74">
        <f t="shared" si="2"/>
        <v>-0.0095</v>
      </c>
      <c r="I19" s="90">
        <f t="shared" si="1"/>
        <v>0</v>
      </c>
      <c r="J19" s="113" t="s">
        <v>195</v>
      </c>
      <c r="K19" s="114">
        <v>15</v>
      </c>
      <c r="L19" s="74" t="s">
        <v>197</v>
      </c>
      <c r="M19" s="74">
        <v>1</v>
      </c>
      <c r="N19" s="113" t="s">
        <v>78</v>
      </c>
      <c r="O19" s="114">
        <v>1</v>
      </c>
      <c r="P19" s="74" t="s">
        <v>36</v>
      </c>
      <c r="Q19" s="74">
        <v>1</v>
      </c>
      <c r="R19" s="113"/>
      <c r="S19" s="114"/>
    </row>
    <row r="20" spans="1:19">
      <c r="A20" s="92" t="s">
        <v>527</v>
      </c>
      <c r="B20" s="93" t="s">
        <v>492</v>
      </c>
      <c r="C20" s="94">
        <v>1</v>
      </c>
      <c r="D20" s="94">
        <v>20</v>
      </c>
      <c r="E20" s="94" t="s">
        <v>528</v>
      </c>
      <c r="F20" s="93">
        <f>F19*3+材料价格!N27*3+材料价格!N29+材料价格!E7*5</f>
        <v>0.0385</v>
      </c>
      <c r="G20" s="95"/>
      <c r="H20" s="94">
        <f t="shared" si="2"/>
        <v>-0.0385</v>
      </c>
      <c r="I20" s="93">
        <f t="shared" si="1"/>
        <v>0</v>
      </c>
      <c r="J20" s="115" t="s">
        <v>525</v>
      </c>
      <c r="K20" s="116">
        <v>3</v>
      </c>
      <c r="L20" s="94" t="s">
        <v>154</v>
      </c>
      <c r="M20" s="94">
        <v>3</v>
      </c>
      <c r="N20" s="115" t="s">
        <v>164</v>
      </c>
      <c r="O20" s="116">
        <v>1</v>
      </c>
      <c r="P20" s="94" t="s">
        <v>36</v>
      </c>
      <c r="Q20" s="94">
        <v>5</v>
      </c>
      <c r="R20" s="115"/>
      <c r="S20" s="116"/>
    </row>
    <row r="21" spans="1:19">
      <c r="A21" s="85" t="s">
        <v>529</v>
      </c>
      <c r="B21" s="86" t="s">
        <v>530</v>
      </c>
      <c r="C21" s="87">
        <v>1</v>
      </c>
      <c r="D21" s="87">
        <v>15</v>
      </c>
      <c r="E21" s="87" t="s">
        <v>531</v>
      </c>
      <c r="F21" s="86">
        <f>材料价格!E40*15+材料价格!E41+材料价格!E13*5+材料价格!E6</f>
        <v>0.0155</v>
      </c>
      <c r="G21" s="88"/>
      <c r="H21" s="87">
        <f t="shared" si="2"/>
        <v>-0.0155</v>
      </c>
      <c r="I21" s="86">
        <f t="shared" si="1"/>
        <v>0</v>
      </c>
      <c r="J21" s="111" t="s">
        <v>195</v>
      </c>
      <c r="K21" s="112">
        <v>15</v>
      </c>
      <c r="L21" s="87" t="s">
        <v>197</v>
      </c>
      <c r="M21" s="87">
        <v>1</v>
      </c>
      <c r="N21" s="111" t="s">
        <v>72</v>
      </c>
      <c r="O21" s="112">
        <v>5</v>
      </c>
      <c r="P21" s="87" t="s">
        <v>30</v>
      </c>
      <c r="Q21" s="87">
        <v>1</v>
      </c>
      <c r="R21" s="111"/>
      <c r="S21" s="112"/>
    </row>
    <row r="22" spans="1:19">
      <c r="A22" s="89" t="s">
        <v>532</v>
      </c>
      <c r="B22" s="90" t="s">
        <v>530</v>
      </c>
      <c r="C22" s="74">
        <v>1</v>
      </c>
      <c r="D22" s="74">
        <v>20</v>
      </c>
      <c r="E22" s="74" t="s">
        <v>533</v>
      </c>
      <c r="F22" s="90">
        <f>F21*3+材料价格!N25*3+材料价格!N31+材料价格!E7*5</f>
        <v>0.0565</v>
      </c>
      <c r="G22" s="91"/>
      <c r="H22" s="74">
        <f t="shared" si="2"/>
        <v>-0.0565</v>
      </c>
      <c r="I22" s="90">
        <f t="shared" si="1"/>
        <v>0</v>
      </c>
      <c r="J22" s="113" t="s">
        <v>529</v>
      </c>
      <c r="K22" s="114">
        <v>3</v>
      </c>
      <c r="L22" s="74" t="s">
        <v>144</v>
      </c>
      <c r="M22" s="74">
        <v>3</v>
      </c>
      <c r="N22" s="113" t="s">
        <v>174</v>
      </c>
      <c r="O22" s="114">
        <v>1</v>
      </c>
      <c r="P22" s="74" t="s">
        <v>36</v>
      </c>
      <c r="Q22" s="74">
        <v>5</v>
      </c>
      <c r="R22" s="113"/>
      <c r="S22" s="114"/>
    </row>
    <row r="23" spans="1:19">
      <c r="A23" s="89" t="s">
        <v>534</v>
      </c>
      <c r="B23" s="90" t="s">
        <v>530</v>
      </c>
      <c r="C23" s="74">
        <v>1</v>
      </c>
      <c r="D23" s="74">
        <v>15</v>
      </c>
      <c r="E23" s="74" t="s">
        <v>535</v>
      </c>
      <c r="F23" s="90">
        <f>材料价格!E39*15+材料价格!E41+材料价格!E12*5+材料价格!E6</f>
        <v>0.028</v>
      </c>
      <c r="G23" s="91"/>
      <c r="H23" s="74">
        <f t="shared" si="2"/>
        <v>-0.028</v>
      </c>
      <c r="I23" s="90">
        <f t="shared" si="1"/>
        <v>0</v>
      </c>
      <c r="J23" s="113" t="s">
        <v>193</v>
      </c>
      <c r="K23" s="114">
        <v>15</v>
      </c>
      <c r="L23" s="74" t="s">
        <v>197</v>
      </c>
      <c r="M23" s="74">
        <v>1</v>
      </c>
      <c r="N23" s="113" t="s">
        <v>66</v>
      </c>
      <c r="O23" s="114">
        <v>5</v>
      </c>
      <c r="P23" s="74" t="s">
        <v>30</v>
      </c>
      <c r="Q23" s="74">
        <v>1</v>
      </c>
      <c r="R23" s="113"/>
      <c r="S23" s="114"/>
    </row>
    <row r="24" spans="1:19">
      <c r="A24" s="89" t="s">
        <v>536</v>
      </c>
      <c r="B24" s="90" t="s">
        <v>530</v>
      </c>
      <c r="C24" s="74">
        <v>1</v>
      </c>
      <c r="D24" s="74">
        <v>20</v>
      </c>
      <c r="E24" s="74" t="s">
        <v>537</v>
      </c>
      <c r="F24" s="90">
        <f>F23*3+材料价格!N26*3+材料价格!N32+材料价格!E7*5</f>
        <v>0.094</v>
      </c>
      <c r="G24" s="91"/>
      <c r="H24" s="74">
        <f t="shared" si="2"/>
        <v>-0.094</v>
      </c>
      <c r="I24" s="90">
        <f t="shared" si="1"/>
        <v>0</v>
      </c>
      <c r="J24" s="113" t="s">
        <v>534</v>
      </c>
      <c r="K24" s="114">
        <v>3</v>
      </c>
      <c r="L24" s="74" t="s">
        <v>149</v>
      </c>
      <c r="M24" s="74">
        <v>3</v>
      </c>
      <c r="N24" s="113" t="s">
        <v>178</v>
      </c>
      <c r="O24" s="114">
        <v>1</v>
      </c>
      <c r="P24" s="74" t="s">
        <v>36</v>
      </c>
      <c r="Q24" s="74">
        <v>5</v>
      </c>
      <c r="R24" s="113"/>
      <c r="S24" s="114"/>
    </row>
    <row r="25" spans="1:19">
      <c r="A25" s="89" t="s">
        <v>538</v>
      </c>
      <c r="B25" s="90" t="s">
        <v>530</v>
      </c>
      <c r="C25" s="74">
        <v>1</v>
      </c>
      <c r="D25" s="74">
        <v>15</v>
      </c>
      <c r="E25" s="74" t="s">
        <v>539</v>
      </c>
      <c r="F25" s="90">
        <f>材料价格!E39*15+材料价格!E41+材料价格!E11*5+材料价格!E6</f>
        <v>0.0305</v>
      </c>
      <c r="G25" s="91"/>
      <c r="H25" s="74">
        <f t="shared" si="2"/>
        <v>-0.0305</v>
      </c>
      <c r="I25" s="90">
        <f t="shared" si="1"/>
        <v>0</v>
      </c>
      <c r="J25" s="113" t="s">
        <v>193</v>
      </c>
      <c r="K25" s="114">
        <v>15</v>
      </c>
      <c r="L25" s="74" t="s">
        <v>197</v>
      </c>
      <c r="M25" s="74">
        <v>1</v>
      </c>
      <c r="N25" s="113" t="s">
        <v>60</v>
      </c>
      <c r="O25" s="114">
        <v>5</v>
      </c>
      <c r="P25" s="74" t="s">
        <v>30</v>
      </c>
      <c r="Q25" s="74">
        <v>1</v>
      </c>
      <c r="R25" s="113"/>
      <c r="S25" s="114"/>
    </row>
    <row r="26" spans="1:19">
      <c r="A26" s="89" t="s">
        <v>540</v>
      </c>
      <c r="B26" s="90" t="s">
        <v>530</v>
      </c>
      <c r="C26" s="74">
        <v>1</v>
      </c>
      <c r="D26" s="74">
        <v>20</v>
      </c>
      <c r="E26" s="74" t="s">
        <v>541</v>
      </c>
      <c r="F26" s="90">
        <f>F25*3+材料价格!N28*3+材料价格!N30+材料价格!E7*5</f>
        <v>0.1015</v>
      </c>
      <c r="G26" s="91"/>
      <c r="H26" s="74">
        <f t="shared" si="2"/>
        <v>-0.1015</v>
      </c>
      <c r="I26" s="90">
        <f t="shared" si="1"/>
        <v>0</v>
      </c>
      <c r="J26" s="113" t="s">
        <v>538</v>
      </c>
      <c r="K26" s="114">
        <v>3</v>
      </c>
      <c r="L26" s="74" t="s">
        <v>159</v>
      </c>
      <c r="M26" s="74">
        <v>3</v>
      </c>
      <c r="N26" s="113" t="s">
        <v>169</v>
      </c>
      <c r="O26" s="114">
        <v>1</v>
      </c>
      <c r="P26" s="74" t="s">
        <v>36</v>
      </c>
      <c r="Q26" s="74">
        <v>5</v>
      </c>
      <c r="R26" s="113"/>
      <c r="S26" s="114"/>
    </row>
    <row r="27" spans="1:19">
      <c r="A27" s="89" t="s">
        <v>542</v>
      </c>
      <c r="B27" s="90" t="s">
        <v>530</v>
      </c>
      <c r="C27" s="74">
        <v>1</v>
      </c>
      <c r="D27" s="74">
        <v>15</v>
      </c>
      <c r="E27" s="74" t="s">
        <v>543</v>
      </c>
      <c r="F27" s="90">
        <f>材料价格!E40*15+材料价格!E41+材料价格!E10*5+材料价格!E6</f>
        <v>0.0305</v>
      </c>
      <c r="G27" s="91"/>
      <c r="H27" s="74">
        <f t="shared" si="2"/>
        <v>-0.0305</v>
      </c>
      <c r="I27" s="90">
        <f t="shared" si="1"/>
        <v>0</v>
      </c>
      <c r="J27" s="113" t="s">
        <v>195</v>
      </c>
      <c r="K27" s="114">
        <v>15</v>
      </c>
      <c r="L27" s="74" t="s">
        <v>197</v>
      </c>
      <c r="M27" s="74">
        <v>1</v>
      </c>
      <c r="N27" s="113" t="s">
        <v>54</v>
      </c>
      <c r="O27" s="114">
        <v>5</v>
      </c>
      <c r="P27" s="74" t="s">
        <v>30</v>
      </c>
      <c r="Q27" s="74">
        <v>1</v>
      </c>
      <c r="R27" s="113"/>
      <c r="S27" s="114"/>
    </row>
    <row r="28" spans="1:19">
      <c r="A28" s="89" t="s">
        <v>544</v>
      </c>
      <c r="B28" s="90" t="s">
        <v>530</v>
      </c>
      <c r="C28" s="74">
        <v>1</v>
      </c>
      <c r="D28" s="74">
        <v>20</v>
      </c>
      <c r="E28" s="74" t="s">
        <v>545</v>
      </c>
      <c r="F28" s="90">
        <f>F27*3+材料价格!N27*3+材料价格!N29+材料价格!E7*5</f>
        <v>0.1015</v>
      </c>
      <c r="G28" s="91"/>
      <c r="H28" s="74">
        <f t="shared" si="2"/>
        <v>-0.1015</v>
      </c>
      <c r="I28" s="90">
        <f t="shared" si="1"/>
        <v>0</v>
      </c>
      <c r="J28" s="113" t="s">
        <v>542</v>
      </c>
      <c r="K28" s="114">
        <v>3</v>
      </c>
      <c r="L28" s="74" t="s">
        <v>154</v>
      </c>
      <c r="M28" s="74">
        <v>3</v>
      </c>
      <c r="N28" s="113" t="s">
        <v>164</v>
      </c>
      <c r="O28" s="114">
        <v>1</v>
      </c>
      <c r="P28" s="74" t="s">
        <v>36</v>
      </c>
      <c r="Q28" s="74">
        <v>5</v>
      </c>
      <c r="R28" s="113"/>
      <c r="S28" s="114"/>
    </row>
    <row r="29" spans="1:19">
      <c r="A29" s="89" t="s">
        <v>546</v>
      </c>
      <c r="B29" s="90" t="s">
        <v>530</v>
      </c>
      <c r="C29" s="74">
        <v>1</v>
      </c>
      <c r="D29" s="74">
        <v>15</v>
      </c>
      <c r="E29" s="74" t="s">
        <v>547</v>
      </c>
      <c r="F29" s="90">
        <f>材料价格!E39*15+材料价格!E41+材料价格!E14*5+材料价格!E6</f>
        <v>0.0105</v>
      </c>
      <c r="G29" s="91"/>
      <c r="H29" s="74">
        <f t="shared" si="2"/>
        <v>-0.0105</v>
      </c>
      <c r="I29" s="90">
        <f t="shared" si="1"/>
        <v>0</v>
      </c>
      <c r="J29" s="113" t="s">
        <v>193</v>
      </c>
      <c r="K29" s="114">
        <v>15</v>
      </c>
      <c r="L29" s="74" t="s">
        <v>197</v>
      </c>
      <c r="M29" s="74">
        <v>1</v>
      </c>
      <c r="N29" s="113" t="s">
        <v>78</v>
      </c>
      <c r="O29" s="114">
        <v>5</v>
      </c>
      <c r="P29" s="74" t="s">
        <v>30</v>
      </c>
      <c r="Q29" s="74">
        <v>1</v>
      </c>
      <c r="R29" s="113"/>
      <c r="S29" s="114"/>
    </row>
    <row r="30" spans="1:19">
      <c r="A30" s="92" t="s">
        <v>548</v>
      </c>
      <c r="B30" s="93" t="s">
        <v>530</v>
      </c>
      <c r="C30" s="94">
        <v>1</v>
      </c>
      <c r="D30" s="94">
        <v>20</v>
      </c>
      <c r="E30" s="94" t="s">
        <v>549</v>
      </c>
      <c r="F30" s="93">
        <f>F29*3+材料价格!N25*3+材料价格!N31+材料价格!E7*5</f>
        <v>0.0415</v>
      </c>
      <c r="G30" s="95"/>
      <c r="H30" s="94">
        <f t="shared" si="2"/>
        <v>-0.0415</v>
      </c>
      <c r="I30" s="93">
        <f t="shared" si="1"/>
        <v>0</v>
      </c>
      <c r="J30" s="115" t="s">
        <v>546</v>
      </c>
      <c r="K30" s="116">
        <v>3</v>
      </c>
      <c r="L30" s="94" t="s">
        <v>144</v>
      </c>
      <c r="M30" s="94">
        <v>3</v>
      </c>
      <c r="N30" s="115" t="s">
        <v>174</v>
      </c>
      <c r="O30" s="116">
        <v>1</v>
      </c>
      <c r="P30" s="94" t="s">
        <v>36</v>
      </c>
      <c r="Q30" s="94">
        <v>5</v>
      </c>
      <c r="R30" s="115"/>
      <c r="S30" s="116"/>
    </row>
    <row r="31" spans="1:19">
      <c r="A31" s="96" t="s">
        <v>502</v>
      </c>
      <c r="B31" s="97" t="s">
        <v>550</v>
      </c>
      <c r="C31" s="98">
        <v>5</v>
      </c>
      <c r="D31" s="98">
        <v>61</v>
      </c>
      <c r="E31" s="98"/>
      <c r="F31" s="97">
        <f>(材料价格!E36*20+材料价格!E37*20+材料价格!E38*20+材料价格!N6)/5</f>
        <v>0</v>
      </c>
      <c r="G31" s="99"/>
      <c r="H31" s="87">
        <f t="shared" si="2"/>
        <v>0</v>
      </c>
      <c r="I31" s="86">
        <f t="shared" si="1"/>
        <v>0</v>
      </c>
      <c r="J31" s="117" t="s">
        <v>189</v>
      </c>
      <c r="K31" s="118">
        <v>20</v>
      </c>
      <c r="L31" s="98" t="s">
        <v>191</v>
      </c>
      <c r="M31" s="98">
        <v>20</v>
      </c>
      <c r="N31" s="117" t="s">
        <v>187</v>
      </c>
      <c r="O31" s="118">
        <v>20</v>
      </c>
      <c r="P31" s="98" t="s">
        <v>33</v>
      </c>
      <c r="Q31" s="98">
        <v>1</v>
      </c>
      <c r="R31" s="117"/>
      <c r="S31" s="118"/>
    </row>
    <row r="32" spans="1:19">
      <c r="A32" s="123" t="s">
        <v>551</v>
      </c>
      <c r="B32" s="124" t="s">
        <v>550</v>
      </c>
      <c r="C32" s="125">
        <v>1</v>
      </c>
      <c r="D32" s="125">
        <v>7</v>
      </c>
      <c r="E32" s="126"/>
      <c r="F32" s="124">
        <f>材料价格!E24+材料价格!E14</f>
        <v>0.0015</v>
      </c>
      <c r="G32" s="127"/>
      <c r="H32" s="74">
        <f t="shared" si="2"/>
        <v>-0.0015</v>
      </c>
      <c r="I32" s="90">
        <f t="shared" si="1"/>
        <v>0</v>
      </c>
      <c r="J32" s="133" t="s">
        <v>136</v>
      </c>
      <c r="K32" s="134">
        <v>1</v>
      </c>
      <c r="L32" s="125" t="s">
        <v>78</v>
      </c>
      <c r="M32" s="125">
        <v>1</v>
      </c>
      <c r="N32" s="133"/>
      <c r="O32" s="134"/>
      <c r="P32" s="126"/>
      <c r="Q32" s="125"/>
      <c r="R32" s="137"/>
      <c r="S32" s="138"/>
    </row>
    <row r="33" spans="1:19">
      <c r="A33" s="128" t="s">
        <v>552</v>
      </c>
      <c r="B33" s="129" t="s">
        <v>550</v>
      </c>
      <c r="C33" s="130">
        <v>1</v>
      </c>
      <c r="D33" s="130">
        <v>7</v>
      </c>
      <c r="E33" s="131"/>
      <c r="F33" s="129">
        <f>F32*2+材料价格!E17</f>
        <v>0.005</v>
      </c>
      <c r="G33" s="132"/>
      <c r="H33" s="74">
        <f t="shared" si="2"/>
        <v>-0.005</v>
      </c>
      <c r="I33" s="90">
        <f t="shared" si="1"/>
        <v>0</v>
      </c>
      <c r="J33" s="135" t="s">
        <v>551</v>
      </c>
      <c r="K33" s="136">
        <v>2</v>
      </c>
      <c r="L33" s="130" t="s">
        <v>96</v>
      </c>
      <c r="M33" s="130">
        <v>1</v>
      </c>
      <c r="N33" s="135"/>
      <c r="O33" s="136"/>
      <c r="P33" s="131"/>
      <c r="Q33" s="130"/>
      <c r="R33" s="139"/>
      <c r="S33" s="140"/>
    </row>
    <row r="34" spans="1:19">
      <c r="A34" s="100" t="s">
        <v>553</v>
      </c>
      <c r="B34" s="101" t="s">
        <v>550</v>
      </c>
      <c r="C34" s="102">
        <v>1</v>
      </c>
      <c r="D34" s="102">
        <v>7</v>
      </c>
      <c r="E34" s="102"/>
      <c r="F34" s="101">
        <f>材料价格!E17+材料价格!E16</f>
        <v>0.0045</v>
      </c>
      <c r="G34" s="103"/>
      <c r="H34" s="74">
        <f t="shared" si="2"/>
        <v>-0.0045</v>
      </c>
      <c r="I34" s="90">
        <f t="shared" si="1"/>
        <v>0</v>
      </c>
      <c r="J34" s="119" t="s">
        <v>96</v>
      </c>
      <c r="K34" s="120">
        <v>1</v>
      </c>
      <c r="L34" s="102" t="s">
        <v>90</v>
      </c>
      <c r="M34" s="102">
        <v>1</v>
      </c>
      <c r="N34" s="119"/>
      <c r="O34" s="120"/>
      <c r="P34" s="102"/>
      <c r="Q34" s="102"/>
      <c r="R34" s="119"/>
      <c r="S34" s="120"/>
    </row>
    <row r="35" spans="1:19">
      <c r="A35" s="100" t="s">
        <v>554</v>
      </c>
      <c r="B35" s="101" t="s">
        <v>550</v>
      </c>
      <c r="C35" s="102">
        <v>1</v>
      </c>
      <c r="D35" s="102">
        <v>7</v>
      </c>
      <c r="E35" s="102"/>
      <c r="F35" s="101">
        <f>材料价格!E25*2+材料价格!E26*2+材料价格!E14+材料价格!E7</f>
        <v>0.0035</v>
      </c>
      <c r="G35" s="103"/>
      <c r="H35" s="74">
        <f t="shared" si="2"/>
        <v>-0.0035</v>
      </c>
      <c r="I35" s="90">
        <f t="shared" si="1"/>
        <v>0</v>
      </c>
      <c r="J35" s="119" t="s">
        <v>141</v>
      </c>
      <c r="K35" s="120">
        <v>2</v>
      </c>
      <c r="L35" s="102" t="s">
        <v>146</v>
      </c>
      <c r="M35" s="102">
        <v>2</v>
      </c>
      <c r="N35" s="119" t="s">
        <v>78</v>
      </c>
      <c r="O35" s="120">
        <v>1</v>
      </c>
      <c r="P35" s="102" t="s">
        <v>36</v>
      </c>
      <c r="Q35" s="102">
        <v>1</v>
      </c>
      <c r="R35" s="119"/>
      <c r="S35" s="120"/>
    </row>
    <row r="36" spans="1:19">
      <c r="A36" s="104" t="s">
        <v>555</v>
      </c>
      <c r="B36" s="105" t="s">
        <v>477</v>
      </c>
      <c r="C36" s="106">
        <v>1</v>
      </c>
      <c r="D36" s="106">
        <v>37</v>
      </c>
      <c r="E36" s="106" t="s">
        <v>556</v>
      </c>
      <c r="F36" s="105">
        <f>F34+F35+材料价格!Q6</f>
        <v>0.008</v>
      </c>
      <c r="G36" s="107"/>
      <c r="H36" s="94">
        <f t="shared" si="2"/>
        <v>-0.008</v>
      </c>
      <c r="I36" s="93">
        <f t="shared" si="1"/>
        <v>0</v>
      </c>
      <c r="J36" s="121" t="s">
        <v>553</v>
      </c>
      <c r="K36" s="122">
        <v>1</v>
      </c>
      <c r="L36" s="106" t="s">
        <v>554</v>
      </c>
      <c r="M36" s="106">
        <v>1</v>
      </c>
      <c r="N36" s="121" t="s">
        <v>34</v>
      </c>
      <c r="O36" s="122">
        <v>1</v>
      </c>
      <c r="P36" s="106"/>
      <c r="Q36" s="106"/>
      <c r="R36" s="121"/>
      <c r="S36" s="122"/>
    </row>
    <row r="37" spans="1:19">
      <c r="A37" s="85" t="s">
        <v>557</v>
      </c>
      <c r="B37" s="86" t="s">
        <v>558</v>
      </c>
      <c r="C37" s="87">
        <v>1</v>
      </c>
      <c r="D37" s="87">
        <v>61</v>
      </c>
      <c r="E37" s="87" t="s">
        <v>559</v>
      </c>
      <c r="F37" s="86">
        <f>材料价格!E34*20+材料价格!E35*20+材料价格!E21*5+材料价格!Q7*10+材料价格!E4*5</f>
        <v>100.8</v>
      </c>
      <c r="G37" s="88"/>
      <c r="H37" s="87">
        <f t="shared" si="2"/>
        <v>-100.8</v>
      </c>
      <c r="I37" s="86">
        <f t="shared" si="1"/>
        <v>-1.7</v>
      </c>
      <c r="J37" s="111" t="s">
        <v>183</v>
      </c>
      <c r="K37" s="112">
        <v>20</v>
      </c>
      <c r="L37" s="87" t="s">
        <v>185</v>
      </c>
      <c r="M37" s="87">
        <v>20</v>
      </c>
      <c r="N37" s="111" t="s">
        <v>120</v>
      </c>
      <c r="O37" s="112">
        <v>5</v>
      </c>
      <c r="P37" s="87" t="s">
        <v>40</v>
      </c>
      <c r="Q37" s="87">
        <v>10</v>
      </c>
      <c r="R37" s="111" t="s">
        <v>18</v>
      </c>
      <c r="S37" s="112">
        <v>5</v>
      </c>
    </row>
    <row r="38" spans="1:19">
      <c r="A38" s="89" t="s">
        <v>560</v>
      </c>
      <c r="B38" s="90" t="s">
        <v>558</v>
      </c>
      <c r="C38" s="74">
        <v>1</v>
      </c>
      <c r="D38" s="74">
        <v>61</v>
      </c>
      <c r="E38" s="74" t="s">
        <v>561</v>
      </c>
      <c r="F38" s="90">
        <f>材料价格!E33*20+材料价格!E35*20+材料价格!E22*5+材料价格!Q7*10+材料价格!E5*5</f>
        <v>100.8</v>
      </c>
      <c r="G38" s="91"/>
      <c r="H38" s="74">
        <f t="shared" si="2"/>
        <v>-100.8</v>
      </c>
      <c r="I38" s="90">
        <f t="shared" si="1"/>
        <v>-1.7</v>
      </c>
      <c r="J38" s="113" t="s">
        <v>180</v>
      </c>
      <c r="K38" s="114">
        <v>20</v>
      </c>
      <c r="L38" s="74" t="s">
        <v>185</v>
      </c>
      <c r="M38" s="74">
        <v>20</v>
      </c>
      <c r="N38" s="113" t="s">
        <v>126</v>
      </c>
      <c r="O38" s="114">
        <v>5</v>
      </c>
      <c r="P38" s="74" t="s">
        <v>40</v>
      </c>
      <c r="Q38" s="74">
        <v>10</v>
      </c>
      <c r="R38" s="113" t="s">
        <v>24</v>
      </c>
      <c r="S38" s="114">
        <v>5</v>
      </c>
    </row>
    <row r="39" spans="1:19">
      <c r="A39" s="89" t="s">
        <v>562</v>
      </c>
      <c r="B39" s="90" t="s">
        <v>558</v>
      </c>
      <c r="C39" s="74">
        <v>1</v>
      </c>
      <c r="D39" s="74">
        <v>61</v>
      </c>
      <c r="E39" s="74" t="s">
        <v>563</v>
      </c>
      <c r="F39" s="90">
        <f>材料价格!E33*20+材料价格!E35*20+材料价格!E19*5+材料价格!Q7*10+材料价格!E4*5</f>
        <v>100.8</v>
      </c>
      <c r="G39" s="91"/>
      <c r="H39" s="74">
        <f t="shared" si="2"/>
        <v>-100.8</v>
      </c>
      <c r="I39" s="90">
        <f t="shared" si="1"/>
        <v>-1.7</v>
      </c>
      <c r="J39" s="113" t="s">
        <v>180</v>
      </c>
      <c r="K39" s="114">
        <v>20</v>
      </c>
      <c r="L39" s="74" t="s">
        <v>185</v>
      </c>
      <c r="M39" s="74">
        <v>20</v>
      </c>
      <c r="N39" s="113" t="s">
        <v>108</v>
      </c>
      <c r="O39" s="114">
        <v>5</v>
      </c>
      <c r="P39" s="74" t="s">
        <v>40</v>
      </c>
      <c r="Q39" s="74">
        <v>10</v>
      </c>
      <c r="R39" s="113" t="s">
        <v>18</v>
      </c>
      <c r="S39" s="114">
        <v>5</v>
      </c>
    </row>
    <row r="40" spans="1:19">
      <c r="A40" s="89" t="s">
        <v>564</v>
      </c>
      <c r="B40" s="90" t="s">
        <v>558</v>
      </c>
      <c r="C40" s="74">
        <v>1</v>
      </c>
      <c r="D40" s="74">
        <v>61</v>
      </c>
      <c r="E40" s="74" t="s">
        <v>565</v>
      </c>
      <c r="F40" s="90">
        <f>材料价格!E34*20+材料价格!E35*20+材料价格!E20*5+材料价格!Q7*10+材料价格!E5*5</f>
        <v>100.8</v>
      </c>
      <c r="G40" s="91"/>
      <c r="H40" s="74">
        <f t="shared" si="2"/>
        <v>-100.8</v>
      </c>
      <c r="I40" s="90">
        <f t="shared" si="1"/>
        <v>-1.7</v>
      </c>
      <c r="J40" s="113" t="s">
        <v>183</v>
      </c>
      <c r="K40" s="114">
        <v>20</v>
      </c>
      <c r="L40" s="74" t="s">
        <v>185</v>
      </c>
      <c r="M40" s="74">
        <v>20</v>
      </c>
      <c r="N40" s="113" t="s">
        <v>114</v>
      </c>
      <c r="O40" s="114">
        <v>5</v>
      </c>
      <c r="P40" s="74" t="s">
        <v>40</v>
      </c>
      <c r="Q40" s="74">
        <v>10</v>
      </c>
      <c r="R40" s="113" t="s">
        <v>24</v>
      </c>
      <c r="S40" s="114">
        <v>5</v>
      </c>
    </row>
    <row r="41" spans="1:19">
      <c r="A41" s="89" t="s">
        <v>566</v>
      </c>
      <c r="B41" s="90" t="s">
        <v>558</v>
      </c>
      <c r="C41" s="74">
        <v>1</v>
      </c>
      <c r="D41" s="74">
        <v>15</v>
      </c>
      <c r="E41" s="74" t="s">
        <v>567</v>
      </c>
      <c r="F41" s="90">
        <f>材料价格!E39*15+材料价格!E40*15+材料价格!E41*10+材料价格!N26*2</f>
        <v>0</v>
      </c>
      <c r="G41" s="91"/>
      <c r="H41" s="74">
        <f t="shared" si="2"/>
        <v>0</v>
      </c>
      <c r="I41" s="90">
        <f t="shared" si="1"/>
        <v>0</v>
      </c>
      <c r="J41" s="113" t="s">
        <v>195</v>
      </c>
      <c r="K41" s="114">
        <v>15</v>
      </c>
      <c r="L41" s="74" t="s">
        <v>193</v>
      </c>
      <c r="M41" s="74">
        <v>15</v>
      </c>
      <c r="N41" s="113" t="s">
        <v>197</v>
      </c>
      <c r="O41" s="114">
        <v>10</v>
      </c>
      <c r="P41" s="74" t="s">
        <v>149</v>
      </c>
      <c r="Q41" s="74">
        <v>2</v>
      </c>
      <c r="R41" s="113"/>
      <c r="S41" s="114"/>
    </row>
    <row r="42" spans="1:19">
      <c r="A42" s="92" t="s">
        <v>568</v>
      </c>
      <c r="B42" s="93" t="s">
        <v>558</v>
      </c>
      <c r="C42" s="94">
        <v>1</v>
      </c>
      <c r="D42" s="94">
        <v>30</v>
      </c>
      <c r="E42" s="94" t="s">
        <v>569</v>
      </c>
      <c r="F42" s="93">
        <f>F41*3+材料价格!N29+材料价格!N31+材料价格!N32+材料价格!E20*3</f>
        <v>60</v>
      </c>
      <c r="G42" s="95"/>
      <c r="H42" s="94">
        <f t="shared" si="2"/>
        <v>-60</v>
      </c>
      <c r="I42" s="93">
        <f t="shared" si="1"/>
        <v>-1</v>
      </c>
      <c r="J42" s="115" t="s">
        <v>566</v>
      </c>
      <c r="K42" s="116">
        <v>3</v>
      </c>
      <c r="L42" s="94" t="s">
        <v>178</v>
      </c>
      <c r="M42" s="94">
        <v>1</v>
      </c>
      <c r="N42" s="115" t="s">
        <v>164</v>
      </c>
      <c r="O42" s="116">
        <v>1</v>
      </c>
      <c r="P42" s="94" t="s">
        <v>174</v>
      </c>
      <c r="Q42" s="94">
        <v>1</v>
      </c>
      <c r="R42" s="115" t="s">
        <v>114</v>
      </c>
      <c r="S42" s="116">
        <v>3</v>
      </c>
    </row>
    <row r="43" spans="1:19">
      <c r="A43" s="85" t="s">
        <v>570</v>
      </c>
      <c r="B43" s="86" t="s">
        <v>571</v>
      </c>
      <c r="C43" s="87">
        <v>1</v>
      </c>
      <c r="D43" s="87">
        <v>41</v>
      </c>
      <c r="E43" s="87" t="s">
        <v>572</v>
      </c>
      <c r="F43" s="86">
        <f>F33*2+材料价格!E14*2+材料价格!E5</f>
        <v>0.173</v>
      </c>
      <c r="G43" s="88">
        <f>精体性价比!E6</f>
        <v>0</v>
      </c>
      <c r="H43" s="87">
        <f t="shared" si="2"/>
        <v>-0.173</v>
      </c>
      <c r="I43" s="86">
        <f t="shared" si="1"/>
        <v>0</v>
      </c>
      <c r="J43" s="111" t="s">
        <v>552</v>
      </c>
      <c r="K43" s="112">
        <v>2</v>
      </c>
      <c r="L43" s="87" t="s">
        <v>78</v>
      </c>
      <c r="M43" s="87">
        <v>2</v>
      </c>
      <c r="N43" s="111" t="s">
        <v>24</v>
      </c>
      <c r="O43" s="112">
        <v>1</v>
      </c>
      <c r="P43" s="87"/>
      <c r="Q43" s="87"/>
      <c r="R43" s="111"/>
      <c r="S43" s="112"/>
    </row>
    <row r="44" spans="1:19">
      <c r="A44" s="89" t="s">
        <v>573</v>
      </c>
      <c r="B44" s="90" t="s">
        <v>571</v>
      </c>
      <c r="C44" s="74">
        <v>1</v>
      </c>
      <c r="D44" s="74">
        <v>61</v>
      </c>
      <c r="E44" s="74" t="s">
        <v>574</v>
      </c>
      <c r="F44" s="90">
        <f>材料价格!E33*10+材料价格!Q7*5+材料价格!E5*5</f>
        <v>0.8</v>
      </c>
      <c r="G44" s="91">
        <f>精体性价比!E5</f>
        <v>0</v>
      </c>
      <c r="H44" s="74">
        <f t="shared" si="2"/>
        <v>-0.8</v>
      </c>
      <c r="I44" s="90">
        <f t="shared" si="1"/>
        <v>0</v>
      </c>
      <c r="J44" s="113" t="s">
        <v>180</v>
      </c>
      <c r="K44" s="114">
        <v>10</v>
      </c>
      <c r="L44" s="74" t="s">
        <v>40</v>
      </c>
      <c r="M44" s="74">
        <v>5</v>
      </c>
      <c r="N44" s="113" t="s">
        <v>24</v>
      </c>
      <c r="O44" s="114">
        <v>5</v>
      </c>
      <c r="R44" s="113"/>
      <c r="S44" s="114"/>
    </row>
    <row r="45" spans="1:19">
      <c r="A45" s="89" t="s">
        <v>575</v>
      </c>
      <c r="B45" s="90" t="s">
        <v>571</v>
      </c>
      <c r="C45" s="74">
        <v>3</v>
      </c>
      <c r="D45" s="74">
        <v>183</v>
      </c>
      <c r="E45" s="74" t="s">
        <v>576</v>
      </c>
      <c r="F45" s="90">
        <f>(F31+材料价格!E43+材料价格!E42+材料价格!E7)/3</f>
        <v>0.000666666666666667</v>
      </c>
      <c r="G45" s="91">
        <f>精体性价比!E4</f>
        <v>0</v>
      </c>
      <c r="H45" s="74">
        <f t="shared" ref="H45:H50" si="3">G45-F45</f>
        <v>-0.000666666666666667</v>
      </c>
      <c r="I45" s="90">
        <f t="shared" si="1"/>
        <v>0</v>
      </c>
      <c r="J45" s="113" t="s">
        <v>502</v>
      </c>
      <c r="K45" s="114">
        <v>1</v>
      </c>
      <c r="L45" s="74" t="s">
        <v>200</v>
      </c>
      <c r="M45" s="74">
        <v>1</v>
      </c>
      <c r="N45" s="113" t="s">
        <v>199</v>
      </c>
      <c r="O45" s="114">
        <v>1</v>
      </c>
      <c r="P45" s="74" t="s">
        <v>36</v>
      </c>
      <c r="Q45" s="74">
        <v>1</v>
      </c>
      <c r="R45" s="113"/>
      <c r="S45" s="114"/>
    </row>
    <row r="46" spans="1:19">
      <c r="A46" s="89" t="s">
        <v>577</v>
      </c>
      <c r="B46" s="90" t="s">
        <v>571</v>
      </c>
      <c r="C46" s="74">
        <v>1</v>
      </c>
      <c r="D46" s="74">
        <v>83</v>
      </c>
      <c r="E46" s="74" t="s">
        <v>578</v>
      </c>
      <c r="F46" s="90">
        <f>材料价格!N32+材料价格!N25+材料价格!E6</f>
        <v>0.003</v>
      </c>
      <c r="G46" s="91">
        <f>精体性价比!E3</f>
        <v>0</v>
      </c>
      <c r="H46" s="74">
        <f t="shared" si="3"/>
        <v>-0.003</v>
      </c>
      <c r="I46" s="90">
        <f t="shared" si="1"/>
        <v>0</v>
      </c>
      <c r="J46" s="113" t="s">
        <v>178</v>
      </c>
      <c r="K46" s="114">
        <v>1</v>
      </c>
      <c r="L46" s="74" t="s">
        <v>144</v>
      </c>
      <c r="M46" s="74">
        <v>1</v>
      </c>
      <c r="N46" s="113" t="s">
        <v>30</v>
      </c>
      <c r="O46" s="114">
        <v>1</v>
      </c>
      <c r="R46" s="113"/>
      <c r="S46" s="114"/>
    </row>
    <row r="47" spans="1:19">
      <c r="A47" s="89" t="s">
        <v>579</v>
      </c>
      <c r="B47" s="90" t="s">
        <v>571</v>
      </c>
      <c r="C47" s="74">
        <v>1</v>
      </c>
      <c r="D47" s="74">
        <v>41</v>
      </c>
      <c r="E47" s="74" t="s">
        <v>580</v>
      </c>
      <c r="F47" s="90">
        <f>材料价格!E30*2+材料价格!E23+材料价格!E4+材料价格!E7</f>
        <v>0.162</v>
      </c>
      <c r="G47" s="91">
        <f>精体性价比!E23</f>
        <v>0</v>
      </c>
      <c r="H47" s="74">
        <f t="shared" si="3"/>
        <v>-0.162</v>
      </c>
      <c r="I47" s="90">
        <f t="shared" si="1"/>
        <v>0</v>
      </c>
      <c r="J47" s="113" t="s">
        <v>166</v>
      </c>
      <c r="K47" s="114">
        <v>2</v>
      </c>
      <c r="L47" s="74" t="s">
        <v>131</v>
      </c>
      <c r="M47" s="74">
        <v>1</v>
      </c>
      <c r="N47" s="113" t="s">
        <v>18</v>
      </c>
      <c r="O47" s="114">
        <v>1</v>
      </c>
      <c r="P47" s="74" t="s">
        <v>36</v>
      </c>
      <c r="Q47" s="74">
        <v>2</v>
      </c>
      <c r="R47" s="113"/>
      <c r="S47" s="114"/>
    </row>
    <row r="48" spans="1:19">
      <c r="A48" s="89" t="s">
        <v>581</v>
      </c>
      <c r="B48" s="90" t="s">
        <v>571</v>
      </c>
      <c r="C48" s="74">
        <v>1</v>
      </c>
      <c r="D48" s="74">
        <v>61</v>
      </c>
      <c r="E48" s="74" t="s">
        <v>582</v>
      </c>
      <c r="F48" s="90">
        <f>材料价格!E34*10+材料价格!Q7*5+材料价格!E4*5</f>
        <v>0.8</v>
      </c>
      <c r="G48" s="91">
        <f>精体性价比!E22</f>
        <v>0</v>
      </c>
      <c r="H48" s="74">
        <f t="shared" si="3"/>
        <v>-0.8</v>
      </c>
      <c r="I48" s="90">
        <f t="shared" si="1"/>
        <v>0</v>
      </c>
      <c r="J48" s="113" t="s">
        <v>183</v>
      </c>
      <c r="K48" s="114">
        <v>10</v>
      </c>
      <c r="L48" s="74" t="s">
        <v>40</v>
      </c>
      <c r="M48" s="74">
        <v>5</v>
      </c>
      <c r="N48" s="113" t="s">
        <v>18</v>
      </c>
      <c r="O48" s="114">
        <v>5</v>
      </c>
      <c r="R48" s="113"/>
      <c r="S48" s="114"/>
    </row>
    <row r="49" spans="1:19">
      <c r="A49" s="89" t="s">
        <v>583</v>
      </c>
      <c r="B49" s="90" t="s">
        <v>571</v>
      </c>
      <c r="C49" s="74">
        <v>3</v>
      </c>
      <c r="D49" s="74">
        <v>183</v>
      </c>
      <c r="E49" s="74" t="s">
        <v>584</v>
      </c>
      <c r="F49" s="90">
        <f>(F31+材料价格!E45+材料价格!E44+材料价格!E7)/3</f>
        <v>0.000666666666666667</v>
      </c>
      <c r="G49" s="91">
        <f>精体性价比!E21</f>
        <v>0</v>
      </c>
      <c r="H49" s="74">
        <f t="shared" si="3"/>
        <v>-0.000666666666666667</v>
      </c>
      <c r="I49" s="90">
        <f t="shared" si="1"/>
        <v>0</v>
      </c>
      <c r="J49" s="113" t="s">
        <v>502</v>
      </c>
      <c r="K49" s="114">
        <v>1</v>
      </c>
      <c r="L49" s="74" t="s">
        <v>202</v>
      </c>
      <c r="M49" s="74">
        <v>1</v>
      </c>
      <c r="N49" s="113" t="s">
        <v>201</v>
      </c>
      <c r="O49" s="114">
        <v>1</v>
      </c>
      <c r="P49" s="74" t="s">
        <v>36</v>
      </c>
      <c r="Q49" s="74">
        <v>1</v>
      </c>
      <c r="R49" s="113"/>
      <c r="S49" s="114"/>
    </row>
    <row r="50" spans="1:19">
      <c r="A50" s="92" t="s">
        <v>585</v>
      </c>
      <c r="B50" s="93" t="s">
        <v>571</v>
      </c>
      <c r="C50" s="94">
        <v>1</v>
      </c>
      <c r="D50" s="94">
        <v>83</v>
      </c>
      <c r="E50" s="94" t="s">
        <v>586</v>
      </c>
      <c r="F50" s="93">
        <f>材料价格!N31+材料价格!N26+材料价格!E6</f>
        <v>0.003</v>
      </c>
      <c r="G50" s="95">
        <f>精体性价比!E20</f>
        <v>0</v>
      </c>
      <c r="H50" s="94">
        <f t="shared" si="3"/>
        <v>-0.003</v>
      </c>
      <c r="I50" s="93">
        <f t="shared" si="1"/>
        <v>0</v>
      </c>
      <c r="J50" s="115" t="s">
        <v>174</v>
      </c>
      <c r="K50" s="116">
        <v>1</v>
      </c>
      <c r="L50" s="94" t="s">
        <v>149</v>
      </c>
      <c r="M50" s="94">
        <v>1</v>
      </c>
      <c r="N50" s="115" t="s">
        <v>30</v>
      </c>
      <c r="O50" s="116">
        <v>1</v>
      </c>
      <c r="P50" s="94"/>
      <c r="Q50" s="94"/>
      <c r="R50" s="115"/>
      <c r="S50" s="116"/>
    </row>
  </sheetData>
  <mergeCells count="3">
    <mergeCell ref="A1:E1"/>
    <mergeCell ref="H1:I1"/>
    <mergeCell ref="J1:S1"/>
  </mergeCells>
  <pageMargins left="0.699305555555556" right="0.699305555555556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S47"/>
  <sheetViews>
    <sheetView workbookViewId="0">
      <pane xSplit="1" topLeftCell="B1" activePane="topRight" state="frozen"/>
      <selection/>
      <selection pane="topRight" activeCell="A1" sqref="A1:E1"/>
    </sheetView>
  </sheetViews>
  <sheetFormatPr defaultColWidth="9" defaultRowHeight="17.25"/>
  <cols>
    <col min="1" max="1" width="19.625" style="73" customWidth="1"/>
    <col min="2" max="2" width="7.625" style="74" customWidth="1"/>
    <col min="3" max="4" width="4.625" style="74" customWidth="1"/>
    <col min="5" max="5" width="21.625" style="74" customWidth="1"/>
    <col min="6" max="6" width="9.625" style="74" customWidth="1"/>
    <col min="7" max="7" width="9.625" style="75" customWidth="1"/>
    <col min="8" max="8" width="9.625" style="74" customWidth="1"/>
    <col min="9" max="9" width="10.625" style="74" customWidth="1"/>
    <col min="10" max="10" width="14.625" style="74" customWidth="1"/>
    <col min="11" max="11" width="4.625" style="74" customWidth="1"/>
    <col min="12" max="12" width="10.625" style="74" customWidth="1"/>
    <col min="13" max="13" width="4.625" style="74" customWidth="1"/>
    <col min="14" max="14" width="10.625" style="74" customWidth="1"/>
    <col min="15" max="15" width="4.625" style="74" customWidth="1"/>
    <col min="16" max="16" width="10.625" style="74" customWidth="1"/>
    <col min="17" max="17" width="4.625" style="74" customWidth="1"/>
    <col min="18" max="18" width="10.625" style="74" customWidth="1"/>
    <col min="19" max="19" width="4.625" style="74" customWidth="1"/>
    <col min="20" max="16384" width="9" style="74"/>
  </cols>
  <sheetData>
    <row r="1" s="72" customFormat="1" ht="49.5" spans="1:19">
      <c r="A1" s="76" t="s">
        <v>203</v>
      </c>
      <c r="B1" s="77"/>
      <c r="C1" s="77"/>
      <c r="D1" s="77"/>
      <c r="E1" s="78"/>
      <c r="F1" s="79" t="s">
        <v>204</v>
      </c>
      <c r="G1" s="80" t="s">
        <v>205</v>
      </c>
      <c r="H1" s="81" t="s">
        <v>206</v>
      </c>
      <c r="I1" s="81"/>
      <c r="J1" s="81" t="s">
        <v>203</v>
      </c>
      <c r="K1" s="81"/>
      <c r="L1" s="81"/>
      <c r="M1" s="81"/>
      <c r="N1" s="81"/>
      <c r="O1" s="81"/>
      <c r="P1" s="81"/>
      <c r="Q1" s="81"/>
      <c r="R1" s="81"/>
      <c r="S1" s="81"/>
    </row>
    <row r="2" spans="1:19">
      <c r="A2" s="82" t="s">
        <v>14</v>
      </c>
      <c r="B2" s="82" t="s">
        <v>207</v>
      </c>
      <c r="C2" s="83" t="s">
        <v>208</v>
      </c>
      <c r="D2" s="83" t="s">
        <v>209</v>
      </c>
      <c r="E2" s="83" t="s">
        <v>210</v>
      </c>
      <c r="F2" s="82" t="s">
        <v>211</v>
      </c>
      <c r="G2" s="84" t="s">
        <v>212</v>
      </c>
      <c r="H2" s="83" t="s">
        <v>213</v>
      </c>
      <c r="I2" s="82" t="s">
        <v>214</v>
      </c>
      <c r="J2" s="108" t="s">
        <v>215</v>
      </c>
      <c r="K2" s="109" t="s">
        <v>208</v>
      </c>
      <c r="L2" s="110" t="s">
        <v>216</v>
      </c>
      <c r="M2" s="110" t="s">
        <v>208</v>
      </c>
      <c r="N2" s="108" t="s">
        <v>217</v>
      </c>
      <c r="O2" s="109" t="s">
        <v>208</v>
      </c>
      <c r="P2" s="110" t="s">
        <v>218</v>
      </c>
      <c r="Q2" s="110" t="s">
        <v>208</v>
      </c>
      <c r="R2" s="108" t="s">
        <v>219</v>
      </c>
      <c r="S2" s="109" t="s">
        <v>208</v>
      </c>
    </row>
    <row r="3" spans="1:19">
      <c r="A3" s="85" t="s">
        <v>587</v>
      </c>
      <c r="B3" s="86" t="s">
        <v>492</v>
      </c>
      <c r="C3" s="87">
        <v>1</v>
      </c>
      <c r="D3" s="87">
        <v>20</v>
      </c>
      <c r="E3" s="87" t="s">
        <v>588</v>
      </c>
      <c r="F3" s="86">
        <f>材料价格!B35*15+材料价格!B37+材料价格!B8</f>
        <v>1</v>
      </c>
      <c r="G3" s="88"/>
      <c r="H3" s="87">
        <f t="shared" ref="H3:H47" si="0">G3-F3</f>
        <v>-1</v>
      </c>
      <c r="I3" s="86">
        <f t="shared" ref="I3:I47" si="1">ROUND(H3/97,1)</f>
        <v>0</v>
      </c>
      <c r="J3" s="111" t="s">
        <v>184</v>
      </c>
      <c r="K3" s="112">
        <v>15</v>
      </c>
      <c r="L3" s="87" t="s">
        <v>188</v>
      </c>
      <c r="M3" s="87">
        <v>1</v>
      </c>
      <c r="N3" s="111" t="s">
        <v>41</v>
      </c>
      <c r="O3" s="112">
        <v>1</v>
      </c>
      <c r="P3" s="87"/>
      <c r="Q3" s="87"/>
      <c r="R3" s="111"/>
      <c r="S3" s="112"/>
    </row>
    <row r="4" spans="1:19">
      <c r="A4" s="89" t="s">
        <v>589</v>
      </c>
      <c r="B4" s="90" t="s">
        <v>492</v>
      </c>
      <c r="C4" s="74">
        <v>1</v>
      </c>
      <c r="D4" s="74">
        <v>20</v>
      </c>
      <c r="E4" s="74" t="s">
        <v>590</v>
      </c>
      <c r="F4" s="90">
        <f>F3*3+材料价格!N26*3+材料价格!N32+材料价格!B8</f>
        <v>4</v>
      </c>
      <c r="G4" s="91"/>
      <c r="H4" s="74">
        <f t="shared" si="0"/>
        <v>-4</v>
      </c>
      <c r="I4" s="90">
        <f t="shared" si="1"/>
        <v>0</v>
      </c>
      <c r="J4" s="113" t="s">
        <v>587</v>
      </c>
      <c r="K4" s="114">
        <v>3</v>
      </c>
      <c r="L4" s="74" t="s">
        <v>149</v>
      </c>
      <c r="M4" s="74">
        <v>3</v>
      </c>
      <c r="N4" s="113" t="s">
        <v>178</v>
      </c>
      <c r="O4" s="114">
        <v>1</v>
      </c>
      <c r="P4" s="74" t="s">
        <v>41</v>
      </c>
      <c r="Q4" s="74">
        <v>1</v>
      </c>
      <c r="R4" s="113"/>
      <c r="S4" s="114"/>
    </row>
    <row r="5" spans="1:19">
      <c r="A5" s="89" t="s">
        <v>591</v>
      </c>
      <c r="B5" s="90" t="s">
        <v>492</v>
      </c>
      <c r="C5" s="74">
        <v>1</v>
      </c>
      <c r="D5" s="74">
        <v>15</v>
      </c>
      <c r="E5" s="74" t="s">
        <v>592</v>
      </c>
      <c r="F5" s="90">
        <f>材料价格!B35*15+材料价格!B37+材料价格!B8</f>
        <v>1</v>
      </c>
      <c r="G5" s="91"/>
      <c r="H5" s="74">
        <f t="shared" si="0"/>
        <v>-1</v>
      </c>
      <c r="I5" s="90">
        <f t="shared" si="1"/>
        <v>0</v>
      </c>
      <c r="J5" s="113" t="s">
        <v>184</v>
      </c>
      <c r="K5" s="114">
        <v>15</v>
      </c>
      <c r="L5" s="74" t="s">
        <v>188</v>
      </c>
      <c r="M5" s="74">
        <v>1</v>
      </c>
      <c r="N5" s="113" t="s">
        <v>41</v>
      </c>
      <c r="O5" s="114">
        <v>1</v>
      </c>
      <c r="R5" s="113"/>
      <c r="S5" s="114"/>
    </row>
    <row r="6" spans="1:19">
      <c r="A6" s="89" t="s">
        <v>593</v>
      </c>
      <c r="B6" s="90" t="s">
        <v>492</v>
      </c>
      <c r="C6" s="74">
        <v>1</v>
      </c>
      <c r="D6" s="74">
        <v>20</v>
      </c>
      <c r="E6" s="74" t="s">
        <v>594</v>
      </c>
      <c r="F6" s="90">
        <f>F5*3+材料价格!N27*3+材料价格!N29+材料价格!B8</f>
        <v>4</v>
      </c>
      <c r="G6" s="91"/>
      <c r="H6" s="74">
        <f t="shared" si="0"/>
        <v>-4</v>
      </c>
      <c r="I6" s="90">
        <f t="shared" si="1"/>
        <v>0</v>
      </c>
      <c r="J6" s="113" t="s">
        <v>591</v>
      </c>
      <c r="K6" s="114">
        <v>3</v>
      </c>
      <c r="L6" s="74" t="s">
        <v>154</v>
      </c>
      <c r="M6" s="74">
        <v>3</v>
      </c>
      <c r="N6" s="113" t="s">
        <v>164</v>
      </c>
      <c r="O6" s="114">
        <v>1</v>
      </c>
      <c r="P6" s="74" t="s">
        <v>41</v>
      </c>
      <c r="Q6" s="74">
        <v>1</v>
      </c>
      <c r="R6" s="113"/>
      <c r="S6" s="114"/>
    </row>
    <row r="7" spans="1:19">
      <c r="A7" s="89" t="s">
        <v>595</v>
      </c>
      <c r="B7" s="90" t="s">
        <v>492</v>
      </c>
      <c r="C7" s="74">
        <v>3</v>
      </c>
      <c r="D7" s="74">
        <v>81</v>
      </c>
      <c r="E7" s="74" t="s">
        <v>504</v>
      </c>
      <c r="F7" s="90">
        <f>(F37+材料价格!B41+材料价格!B9+材料价格!B7)/3</f>
        <v>0.676666666666667</v>
      </c>
      <c r="G7" s="91"/>
      <c r="H7" s="74">
        <f t="shared" si="0"/>
        <v>-0.676666666666667</v>
      </c>
      <c r="I7" s="90">
        <f t="shared" si="1"/>
        <v>0</v>
      </c>
      <c r="J7" s="113" t="s">
        <v>596</v>
      </c>
      <c r="K7" s="114">
        <v>1</v>
      </c>
      <c r="L7" s="74" t="s">
        <v>196</v>
      </c>
      <c r="M7" s="74">
        <v>1</v>
      </c>
      <c r="N7" s="113" t="s">
        <v>47</v>
      </c>
      <c r="O7" s="114">
        <v>4</v>
      </c>
      <c r="P7" s="74" t="s">
        <v>35</v>
      </c>
      <c r="Q7" s="74">
        <v>1</v>
      </c>
      <c r="R7" s="113"/>
      <c r="S7" s="114"/>
    </row>
    <row r="8" spans="1:19">
      <c r="A8" s="89" t="s">
        <v>597</v>
      </c>
      <c r="B8" s="90" t="s">
        <v>492</v>
      </c>
      <c r="C8" s="74">
        <v>3</v>
      </c>
      <c r="D8" s="74">
        <v>81</v>
      </c>
      <c r="E8" s="74" t="s">
        <v>598</v>
      </c>
      <c r="F8" s="90">
        <f>(F37+材料价格!B39+材料价格!B9+材料价格!B7)/3</f>
        <v>0.676666666666667</v>
      </c>
      <c r="G8" s="91"/>
      <c r="H8" s="74">
        <f t="shared" si="0"/>
        <v>-0.676666666666667</v>
      </c>
      <c r="I8" s="90">
        <f t="shared" si="1"/>
        <v>0</v>
      </c>
      <c r="J8" s="113" t="s">
        <v>596</v>
      </c>
      <c r="K8" s="114">
        <v>1</v>
      </c>
      <c r="L8" s="74" t="s">
        <v>192</v>
      </c>
      <c r="M8" s="74">
        <v>1</v>
      </c>
      <c r="N8" s="113" t="s">
        <v>47</v>
      </c>
      <c r="O8" s="114">
        <v>4</v>
      </c>
      <c r="P8" s="74" t="s">
        <v>35</v>
      </c>
      <c r="Q8" s="74">
        <v>1</v>
      </c>
      <c r="R8" s="113"/>
      <c r="S8" s="114"/>
    </row>
    <row r="9" spans="1:19">
      <c r="A9" s="89" t="s">
        <v>599</v>
      </c>
      <c r="B9" s="90" t="s">
        <v>492</v>
      </c>
      <c r="C9" s="74">
        <v>1</v>
      </c>
      <c r="D9" s="74">
        <v>20</v>
      </c>
      <c r="E9" s="74" t="s">
        <v>600</v>
      </c>
      <c r="F9" s="90">
        <f>材料价格!B34*15+材料价格!B37+材料价格!B8</f>
        <v>1</v>
      </c>
      <c r="G9" s="91"/>
      <c r="H9" s="74">
        <f t="shared" si="0"/>
        <v>-1</v>
      </c>
      <c r="I9" s="90">
        <f t="shared" si="1"/>
        <v>0</v>
      </c>
      <c r="J9" s="113" t="s">
        <v>182</v>
      </c>
      <c r="K9" s="114">
        <v>15</v>
      </c>
      <c r="L9" s="74" t="s">
        <v>188</v>
      </c>
      <c r="M9" s="74">
        <v>1</v>
      </c>
      <c r="N9" s="113" t="s">
        <v>41</v>
      </c>
      <c r="O9" s="114">
        <v>1</v>
      </c>
      <c r="R9" s="113"/>
      <c r="S9" s="114"/>
    </row>
    <row r="10" spans="1:19">
      <c r="A10" s="89" t="s">
        <v>601</v>
      </c>
      <c r="B10" s="90" t="s">
        <v>492</v>
      </c>
      <c r="C10" s="74">
        <v>1</v>
      </c>
      <c r="D10" s="74">
        <v>20</v>
      </c>
      <c r="E10" s="74" t="s">
        <v>602</v>
      </c>
      <c r="F10" s="90">
        <f>F9*3+材料价格!N28*3+材料价格!N30+材料价格!B8</f>
        <v>4</v>
      </c>
      <c r="G10" s="91"/>
      <c r="H10" s="74">
        <f t="shared" si="0"/>
        <v>-4</v>
      </c>
      <c r="I10" s="90">
        <f t="shared" si="1"/>
        <v>0</v>
      </c>
      <c r="J10" s="113" t="s">
        <v>599</v>
      </c>
      <c r="K10" s="114">
        <v>3</v>
      </c>
      <c r="L10" s="74" t="s">
        <v>159</v>
      </c>
      <c r="M10" s="74">
        <v>3</v>
      </c>
      <c r="N10" s="113" t="s">
        <v>169</v>
      </c>
      <c r="O10" s="114">
        <v>1</v>
      </c>
      <c r="P10" s="74" t="s">
        <v>41</v>
      </c>
      <c r="Q10" s="74">
        <v>1</v>
      </c>
      <c r="R10" s="113"/>
      <c r="S10" s="114"/>
    </row>
    <row r="11" spans="1:19">
      <c r="A11" s="89" t="s">
        <v>603</v>
      </c>
      <c r="B11" s="90" t="s">
        <v>492</v>
      </c>
      <c r="C11" s="74">
        <v>1</v>
      </c>
      <c r="D11" s="74">
        <v>15</v>
      </c>
      <c r="E11" s="74" t="s">
        <v>604</v>
      </c>
      <c r="F11" s="90">
        <f>材料价格!B34*15+材料价格!B37+材料价格!B8</f>
        <v>1</v>
      </c>
      <c r="G11" s="91"/>
      <c r="H11" s="74">
        <f t="shared" si="0"/>
        <v>-1</v>
      </c>
      <c r="I11" s="90">
        <f t="shared" si="1"/>
        <v>0</v>
      </c>
      <c r="J11" s="113" t="s">
        <v>182</v>
      </c>
      <c r="K11" s="114">
        <v>15</v>
      </c>
      <c r="L11" s="74" t="s">
        <v>188</v>
      </c>
      <c r="M11" s="74">
        <v>1</v>
      </c>
      <c r="N11" s="113" t="s">
        <v>41</v>
      </c>
      <c r="O11" s="114">
        <v>1</v>
      </c>
      <c r="R11" s="113"/>
      <c r="S11" s="114"/>
    </row>
    <row r="12" spans="1:19">
      <c r="A12" s="89" t="s">
        <v>605</v>
      </c>
      <c r="B12" s="90" t="s">
        <v>492</v>
      </c>
      <c r="C12" s="74">
        <v>1</v>
      </c>
      <c r="D12" s="74">
        <v>20</v>
      </c>
      <c r="E12" s="74" t="s">
        <v>606</v>
      </c>
      <c r="F12" s="90">
        <f>F11*3+材料价格!N28*3+材料价格!N30+材料价格!B8</f>
        <v>4</v>
      </c>
      <c r="G12" s="91"/>
      <c r="H12" s="74">
        <f t="shared" si="0"/>
        <v>-4</v>
      </c>
      <c r="I12" s="90">
        <f t="shared" si="1"/>
        <v>0</v>
      </c>
      <c r="J12" s="113" t="s">
        <v>603</v>
      </c>
      <c r="K12" s="114">
        <v>3</v>
      </c>
      <c r="L12" s="74" t="s">
        <v>159</v>
      </c>
      <c r="M12" s="74">
        <v>3</v>
      </c>
      <c r="N12" s="113" t="s">
        <v>169</v>
      </c>
      <c r="O12" s="114">
        <v>1</v>
      </c>
      <c r="P12" s="74" t="s">
        <v>41</v>
      </c>
      <c r="Q12" s="74">
        <v>1</v>
      </c>
      <c r="R12" s="113"/>
      <c r="S12" s="114"/>
    </row>
    <row r="13" spans="1:19">
      <c r="A13" s="89" t="s">
        <v>607</v>
      </c>
      <c r="B13" s="90" t="s">
        <v>492</v>
      </c>
      <c r="C13" s="74">
        <v>3</v>
      </c>
      <c r="D13" s="74">
        <v>81</v>
      </c>
      <c r="E13" s="74" t="s">
        <v>516</v>
      </c>
      <c r="F13" s="90">
        <f>(F37+材料价格!B40+材料价格!B9+材料价格!B7)/3</f>
        <v>0.676666666666667</v>
      </c>
      <c r="G13" s="91"/>
      <c r="H13" s="74">
        <f t="shared" si="0"/>
        <v>-0.676666666666667</v>
      </c>
      <c r="I13" s="90">
        <f t="shared" si="1"/>
        <v>0</v>
      </c>
      <c r="J13" s="113" t="s">
        <v>596</v>
      </c>
      <c r="K13" s="114">
        <v>1</v>
      </c>
      <c r="L13" s="74" t="s">
        <v>194</v>
      </c>
      <c r="M13" s="74">
        <v>1</v>
      </c>
      <c r="N13" s="113" t="s">
        <v>47</v>
      </c>
      <c r="O13" s="114">
        <v>4</v>
      </c>
      <c r="P13" s="74" t="s">
        <v>35</v>
      </c>
      <c r="Q13" s="74">
        <v>1</v>
      </c>
      <c r="R13" s="113"/>
      <c r="S13" s="114"/>
    </row>
    <row r="14" spans="1:19">
      <c r="A14" s="89" t="s">
        <v>608</v>
      </c>
      <c r="B14" s="90" t="s">
        <v>492</v>
      </c>
      <c r="C14" s="74">
        <v>3</v>
      </c>
      <c r="D14" s="74">
        <v>81</v>
      </c>
      <c r="E14" s="74" t="s">
        <v>609</v>
      </c>
      <c r="F14" s="90">
        <f>(F37+材料价格!B41+材料价格!B9+材料价格!B7)/3</f>
        <v>0.676666666666667</v>
      </c>
      <c r="G14" s="91"/>
      <c r="H14" s="74">
        <f t="shared" si="0"/>
        <v>-0.676666666666667</v>
      </c>
      <c r="I14" s="90">
        <f t="shared" si="1"/>
        <v>0</v>
      </c>
      <c r="J14" s="113" t="s">
        <v>596</v>
      </c>
      <c r="K14" s="114">
        <v>1</v>
      </c>
      <c r="L14" s="74" t="s">
        <v>196</v>
      </c>
      <c r="M14" s="74">
        <v>1</v>
      </c>
      <c r="N14" s="113" t="s">
        <v>47</v>
      </c>
      <c r="O14" s="114">
        <v>4</v>
      </c>
      <c r="P14" s="74" t="s">
        <v>35</v>
      </c>
      <c r="Q14" s="74">
        <v>1</v>
      </c>
      <c r="R14" s="113"/>
      <c r="S14" s="114"/>
    </row>
    <row r="15" spans="1:19">
      <c r="A15" s="89" t="s">
        <v>610</v>
      </c>
      <c r="B15" s="90" t="s">
        <v>492</v>
      </c>
      <c r="C15" s="74">
        <v>1</v>
      </c>
      <c r="D15" s="74">
        <v>15</v>
      </c>
      <c r="E15" s="74" t="s">
        <v>611</v>
      </c>
      <c r="F15" s="90">
        <f>材料价格!B35*15+材料价格!B37+材料价格!B8</f>
        <v>1</v>
      </c>
      <c r="G15" s="91"/>
      <c r="H15" s="74">
        <f t="shared" si="0"/>
        <v>-1</v>
      </c>
      <c r="I15" s="90">
        <f t="shared" si="1"/>
        <v>0</v>
      </c>
      <c r="J15" s="113" t="s">
        <v>184</v>
      </c>
      <c r="K15" s="114">
        <v>15</v>
      </c>
      <c r="L15" s="74" t="s">
        <v>188</v>
      </c>
      <c r="M15" s="74">
        <v>1</v>
      </c>
      <c r="N15" s="113" t="s">
        <v>41</v>
      </c>
      <c r="O15" s="114">
        <v>1</v>
      </c>
      <c r="R15" s="113"/>
      <c r="S15" s="114"/>
    </row>
    <row r="16" spans="1:19">
      <c r="A16" s="89" t="s">
        <v>612</v>
      </c>
      <c r="B16" s="90" t="s">
        <v>492</v>
      </c>
      <c r="C16" s="74">
        <v>1</v>
      </c>
      <c r="D16" s="74">
        <v>20</v>
      </c>
      <c r="E16" s="74" t="s">
        <v>613</v>
      </c>
      <c r="F16" s="90">
        <f>F15*3+材料价格!N26*3+材料价格!N32+材料价格!B8</f>
        <v>4</v>
      </c>
      <c r="G16" s="91"/>
      <c r="H16" s="74">
        <f t="shared" si="0"/>
        <v>-4</v>
      </c>
      <c r="I16" s="90">
        <f t="shared" si="1"/>
        <v>0</v>
      </c>
      <c r="J16" s="113" t="s">
        <v>610</v>
      </c>
      <c r="K16" s="114">
        <v>3</v>
      </c>
      <c r="L16" s="74" t="s">
        <v>149</v>
      </c>
      <c r="M16" s="74">
        <v>3</v>
      </c>
      <c r="N16" s="113" t="s">
        <v>178</v>
      </c>
      <c r="O16" s="114">
        <v>1</v>
      </c>
      <c r="P16" s="74" t="s">
        <v>41</v>
      </c>
      <c r="Q16" s="74">
        <v>1</v>
      </c>
      <c r="R16" s="113"/>
      <c r="S16" s="114"/>
    </row>
    <row r="17" spans="1:19">
      <c r="A17" s="89" t="s">
        <v>614</v>
      </c>
      <c r="B17" s="90" t="s">
        <v>492</v>
      </c>
      <c r="C17" s="74">
        <v>1</v>
      </c>
      <c r="D17" s="74">
        <v>15</v>
      </c>
      <c r="E17" s="74" t="s">
        <v>615</v>
      </c>
      <c r="F17" s="90">
        <f>材料价格!B35*15+材料价格!B37+材料价格!B8</f>
        <v>1</v>
      </c>
      <c r="G17" s="91"/>
      <c r="H17" s="74">
        <f t="shared" si="0"/>
        <v>-1</v>
      </c>
      <c r="I17" s="90">
        <f t="shared" si="1"/>
        <v>0</v>
      </c>
      <c r="J17" s="113" t="s">
        <v>184</v>
      </c>
      <c r="K17" s="114">
        <v>15</v>
      </c>
      <c r="L17" s="74" t="s">
        <v>188</v>
      </c>
      <c r="M17" s="74">
        <v>1</v>
      </c>
      <c r="N17" s="113" t="s">
        <v>41</v>
      </c>
      <c r="O17" s="114">
        <v>1</v>
      </c>
      <c r="R17" s="113"/>
      <c r="S17" s="114"/>
    </row>
    <row r="18" spans="1:19">
      <c r="A18" s="89" t="s">
        <v>616</v>
      </c>
      <c r="B18" s="90" t="s">
        <v>492</v>
      </c>
      <c r="C18" s="74">
        <v>1</v>
      </c>
      <c r="D18" s="74">
        <v>20</v>
      </c>
      <c r="E18" s="74" t="s">
        <v>617</v>
      </c>
      <c r="F18" s="90">
        <f>F17*3+材料价格!N26*3+材料价格!N32+材料价格!B8</f>
        <v>4</v>
      </c>
      <c r="G18" s="91"/>
      <c r="H18" s="74">
        <f t="shared" si="0"/>
        <v>-4</v>
      </c>
      <c r="I18" s="90">
        <f t="shared" si="1"/>
        <v>0</v>
      </c>
      <c r="J18" s="113" t="s">
        <v>614</v>
      </c>
      <c r="K18" s="114">
        <v>3</v>
      </c>
      <c r="L18" s="74" t="s">
        <v>149</v>
      </c>
      <c r="M18" s="74">
        <v>3</v>
      </c>
      <c r="N18" s="113" t="s">
        <v>178</v>
      </c>
      <c r="O18" s="114">
        <v>1</v>
      </c>
      <c r="P18" s="74" t="s">
        <v>41</v>
      </c>
      <c r="Q18" s="74">
        <v>1</v>
      </c>
      <c r="R18" s="113"/>
      <c r="S18" s="114"/>
    </row>
    <row r="19" spans="1:19">
      <c r="A19" s="89" t="s">
        <v>618</v>
      </c>
      <c r="B19" s="90" t="s">
        <v>492</v>
      </c>
      <c r="C19" s="74">
        <v>1</v>
      </c>
      <c r="D19" s="74">
        <v>15</v>
      </c>
      <c r="E19" s="74" t="s">
        <v>619</v>
      </c>
      <c r="F19" s="90">
        <f>材料价格!B35*15+材料价格!B37+材料价格!B8</f>
        <v>1</v>
      </c>
      <c r="G19" s="91"/>
      <c r="H19" s="74">
        <f t="shared" si="0"/>
        <v>-1</v>
      </c>
      <c r="I19" s="90">
        <f t="shared" si="1"/>
        <v>0</v>
      </c>
      <c r="J19" s="113" t="s">
        <v>184</v>
      </c>
      <c r="K19" s="114">
        <v>15</v>
      </c>
      <c r="L19" s="74" t="s">
        <v>188</v>
      </c>
      <c r="M19" s="74">
        <v>1</v>
      </c>
      <c r="N19" s="113" t="s">
        <v>41</v>
      </c>
      <c r="O19" s="114">
        <v>1</v>
      </c>
      <c r="R19" s="113"/>
      <c r="S19" s="114"/>
    </row>
    <row r="20" spans="1:19">
      <c r="A20" s="92" t="s">
        <v>620</v>
      </c>
      <c r="B20" s="93" t="s">
        <v>492</v>
      </c>
      <c r="C20" s="94">
        <v>1</v>
      </c>
      <c r="D20" s="94">
        <v>20</v>
      </c>
      <c r="E20" s="94" t="s">
        <v>621</v>
      </c>
      <c r="F20" s="93">
        <f>F19*3+材料价格!N27*3+材料价格!N29+材料价格!B8</f>
        <v>4</v>
      </c>
      <c r="G20" s="95"/>
      <c r="H20" s="94">
        <f t="shared" si="0"/>
        <v>-4</v>
      </c>
      <c r="I20" s="93">
        <f t="shared" si="1"/>
        <v>0</v>
      </c>
      <c r="J20" s="115" t="s">
        <v>618</v>
      </c>
      <c r="K20" s="116">
        <v>3</v>
      </c>
      <c r="L20" s="94" t="s">
        <v>154</v>
      </c>
      <c r="M20" s="94">
        <v>3</v>
      </c>
      <c r="N20" s="115" t="s">
        <v>164</v>
      </c>
      <c r="O20" s="116">
        <v>1</v>
      </c>
      <c r="P20" s="94" t="s">
        <v>41</v>
      </c>
      <c r="Q20" s="94">
        <v>1</v>
      </c>
      <c r="R20" s="115"/>
      <c r="S20" s="116"/>
    </row>
    <row r="21" spans="1:19">
      <c r="A21" s="85" t="s">
        <v>622</v>
      </c>
      <c r="B21" s="86" t="s">
        <v>530</v>
      </c>
      <c r="C21" s="87">
        <v>1</v>
      </c>
      <c r="D21" s="87">
        <v>15</v>
      </c>
      <c r="E21" s="87" t="s">
        <v>623</v>
      </c>
      <c r="F21" s="86">
        <f>材料价格!B35*15+材料价格!B37+材料价格!B8</f>
        <v>1</v>
      </c>
      <c r="G21" s="88"/>
      <c r="H21" s="87">
        <f t="shared" si="0"/>
        <v>-1</v>
      </c>
      <c r="I21" s="86">
        <f t="shared" si="1"/>
        <v>0</v>
      </c>
      <c r="J21" s="111" t="s">
        <v>184</v>
      </c>
      <c r="K21" s="112">
        <v>15</v>
      </c>
      <c r="L21" s="87" t="s">
        <v>188</v>
      </c>
      <c r="M21" s="87">
        <v>1</v>
      </c>
      <c r="N21" s="111" t="s">
        <v>41</v>
      </c>
      <c r="O21" s="112">
        <v>1</v>
      </c>
      <c r="P21" s="87"/>
      <c r="Q21" s="87"/>
      <c r="R21" s="111"/>
      <c r="S21" s="112"/>
    </row>
    <row r="22" spans="1:19">
      <c r="A22" s="89" t="s">
        <v>624</v>
      </c>
      <c r="B22" s="90" t="s">
        <v>530</v>
      </c>
      <c r="C22" s="74">
        <v>1</v>
      </c>
      <c r="D22" s="74">
        <v>20</v>
      </c>
      <c r="E22" s="74" t="s">
        <v>625</v>
      </c>
      <c r="F22" s="90">
        <f>F21*3+材料价格!N25*3+材料价格!N31+材料价格!B8</f>
        <v>4</v>
      </c>
      <c r="G22" s="91"/>
      <c r="H22" s="74">
        <f t="shared" si="0"/>
        <v>-4</v>
      </c>
      <c r="I22" s="90">
        <f t="shared" si="1"/>
        <v>0</v>
      </c>
      <c r="J22" s="113" t="s">
        <v>622</v>
      </c>
      <c r="K22" s="114">
        <v>3</v>
      </c>
      <c r="L22" s="74" t="s">
        <v>144</v>
      </c>
      <c r="M22" s="74">
        <v>3</v>
      </c>
      <c r="N22" s="113" t="s">
        <v>174</v>
      </c>
      <c r="O22" s="114">
        <v>1</v>
      </c>
      <c r="P22" s="74" t="s">
        <v>41</v>
      </c>
      <c r="Q22" s="74">
        <v>1</v>
      </c>
      <c r="R22" s="113"/>
      <c r="S22" s="114"/>
    </row>
    <row r="23" spans="1:19">
      <c r="A23" s="89" t="s">
        <v>626</v>
      </c>
      <c r="B23" s="90" t="s">
        <v>530</v>
      </c>
      <c r="C23" s="74">
        <v>1</v>
      </c>
      <c r="D23" s="74">
        <v>15</v>
      </c>
      <c r="E23" s="74" t="s">
        <v>627</v>
      </c>
      <c r="F23" s="90">
        <f>材料价格!B35*15+材料价格!B37+材料价格!B8</f>
        <v>1</v>
      </c>
      <c r="G23" s="91"/>
      <c r="H23" s="74">
        <f t="shared" si="0"/>
        <v>-1</v>
      </c>
      <c r="I23" s="90">
        <f t="shared" si="1"/>
        <v>0</v>
      </c>
      <c r="J23" s="113" t="s">
        <v>184</v>
      </c>
      <c r="K23" s="114">
        <v>15</v>
      </c>
      <c r="L23" s="74" t="s">
        <v>188</v>
      </c>
      <c r="M23" s="74">
        <v>1</v>
      </c>
      <c r="N23" s="113" t="s">
        <v>41</v>
      </c>
      <c r="O23" s="114">
        <v>1</v>
      </c>
      <c r="R23" s="113"/>
      <c r="S23" s="114"/>
    </row>
    <row r="24" spans="1:19">
      <c r="A24" s="89" t="s">
        <v>628</v>
      </c>
      <c r="B24" s="90" t="s">
        <v>530</v>
      </c>
      <c r="C24" s="74">
        <v>1</v>
      </c>
      <c r="D24" s="74">
        <v>20</v>
      </c>
      <c r="E24" s="74" t="s">
        <v>629</v>
      </c>
      <c r="F24" s="90">
        <f>F23*3+材料价格!N27*3+材料价格!N29+材料价格!B8</f>
        <v>4</v>
      </c>
      <c r="G24" s="91"/>
      <c r="H24" s="74">
        <f t="shared" si="0"/>
        <v>-4</v>
      </c>
      <c r="I24" s="90">
        <f t="shared" si="1"/>
        <v>0</v>
      </c>
      <c r="J24" s="113" t="s">
        <v>626</v>
      </c>
      <c r="K24" s="114">
        <v>3</v>
      </c>
      <c r="L24" s="74" t="s">
        <v>154</v>
      </c>
      <c r="M24" s="74">
        <v>3</v>
      </c>
      <c r="N24" s="113" t="s">
        <v>164</v>
      </c>
      <c r="O24" s="114">
        <v>1</v>
      </c>
      <c r="P24" s="74" t="s">
        <v>41</v>
      </c>
      <c r="Q24" s="74">
        <v>1</v>
      </c>
      <c r="R24" s="113"/>
      <c r="S24" s="114"/>
    </row>
    <row r="25" spans="1:19">
      <c r="A25" s="89" t="s">
        <v>630</v>
      </c>
      <c r="B25" s="90" t="s">
        <v>530</v>
      </c>
      <c r="C25" s="74">
        <v>1</v>
      </c>
      <c r="D25" s="74">
        <v>15</v>
      </c>
      <c r="E25" s="74" t="s">
        <v>631</v>
      </c>
      <c r="F25" s="90">
        <f>材料价格!B34*15+材料价格!B37+材料价格!B8</f>
        <v>1</v>
      </c>
      <c r="G25" s="91"/>
      <c r="H25" s="74">
        <f t="shared" si="0"/>
        <v>-1</v>
      </c>
      <c r="I25" s="90">
        <f t="shared" si="1"/>
        <v>0</v>
      </c>
      <c r="J25" s="113" t="s">
        <v>182</v>
      </c>
      <c r="K25" s="114">
        <v>15</v>
      </c>
      <c r="L25" s="74" t="s">
        <v>188</v>
      </c>
      <c r="M25" s="74">
        <v>1</v>
      </c>
      <c r="N25" s="113" t="s">
        <v>41</v>
      </c>
      <c r="O25" s="114">
        <v>1</v>
      </c>
      <c r="R25" s="113"/>
      <c r="S25" s="114"/>
    </row>
    <row r="26" spans="1:19">
      <c r="A26" s="89" t="s">
        <v>632</v>
      </c>
      <c r="B26" s="90" t="s">
        <v>530</v>
      </c>
      <c r="C26" s="74">
        <v>1</v>
      </c>
      <c r="D26" s="74">
        <v>20</v>
      </c>
      <c r="E26" s="74" t="s">
        <v>633</v>
      </c>
      <c r="F26" s="90">
        <f>F25*3+材料价格!N28*3+材料价格!N30+材料价格!B8</f>
        <v>4</v>
      </c>
      <c r="G26" s="91"/>
      <c r="H26" s="74">
        <f t="shared" si="0"/>
        <v>-4</v>
      </c>
      <c r="I26" s="90">
        <f t="shared" si="1"/>
        <v>0</v>
      </c>
      <c r="J26" s="113" t="s">
        <v>630</v>
      </c>
      <c r="K26" s="114">
        <v>3</v>
      </c>
      <c r="L26" s="74" t="s">
        <v>159</v>
      </c>
      <c r="M26" s="74">
        <v>3</v>
      </c>
      <c r="N26" s="113" t="s">
        <v>169</v>
      </c>
      <c r="O26" s="114">
        <v>1</v>
      </c>
      <c r="P26" s="74" t="s">
        <v>41</v>
      </c>
      <c r="Q26" s="74">
        <v>1</v>
      </c>
      <c r="R26" s="113"/>
      <c r="S26" s="114"/>
    </row>
    <row r="27" spans="1:19">
      <c r="A27" s="89" t="s">
        <v>634</v>
      </c>
      <c r="B27" s="90" t="s">
        <v>530</v>
      </c>
      <c r="C27" s="74">
        <v>1</v>
      </c>
      <c r="D27" s="74">
        <v>15</v>
      </c>
      <c r="E27" s="74" t="s">
        <v>635</v>
      </c>
      <c r="F27" s="90">
        <f>材料价格!B34*15+材料价格!B37+材料价格!B8</f>
        <v>1</v>
      </c>
      <c r="G27" s="91"/>
      <c r="H27" s="74">
        <f t="shared" si="0"/>
        <v>-1</v>
      </c>
      <c r="I27" s="90">
        <f t="shared" si="1"/>
        <v>0</v>
      </c>
      <c r="J27" s="113" t="s">
        <v>182</v>
      </c>
      <c r="K27" s="114">
        <v>15</v>
      </c>
      <c r="L27" s="74" t="s">
        <v>188</v>
      </c>
      <c r="M27" s="74">
        <v>1</v>
      </c>
      <c r="N27" s="113" t="s">
        <v>41</v>
      </c>
      <c r="O27" s="114">
        <v>1</v>
      </c>
      <c r="R27" s="113"/>
      <c r="S27" s="114"/>
    </row>
    <row r="28" spans="1:19">
      <c r="A28" s="89" t="s">
        <v>636</v>
      </c>
      <c r="B28" s="90" t="s">
        <v>530</v>
      </c>
      <c r="C28" s="74">
        <v>1</v>
      </c>
      <c r="D28" s="74">
        <v>20</v>
      </c>
      <c r="E28" s="74" t="s">
        <v>637</v>
      </c>
      <c r="F28" s="90">
        <f>F27*3+材料价格!N26*3+材料价格!N32+材料价格!B8</f>
        <v>4</v>
      </c>
      <c r="G28" s="91"/>
      <c r="H28" s="74">
        <f t="shared" si="0"/>
        <v>-4</v>
      </c>
      <c r="I28" s="90">
        <f t="shared" si="1"/>
        <v>0</v>
      </c>
      <c r="J28" s="113" t="s">
        <v>634</v>
      </c>
      <c r="K28" s="114">
        <v>3</v>
      </c>
      <c r="L28" s="74" t="s">
        <v>149</v>
      </c>
      <c r="M28" s="74">
        <v>3</v>
      </c>
      <c r="N28" s="113" t="s">
        <v>178</v>
      </c>
      <c r="O28" s="114">
        <v>1</v>
      </c>
      <c r="P28" s="74" t="s">
        <v>41</v>
      </c>
      <c r="Q28" s="74">
        <v>1</v>
      </c>
      <c r="R28" s="113"/>
      <c r="S28" s="114"/>
    </row>
    <row r="29" spans="1:19">
      <c r="A29" s="89" t="s">
        <v>638</v>
      </c>
      <c r="B29" s="90" t="s">
        <v>530</v>
      </c>
      <c r="C29" s="74">
        <v>1</v>
      </c>
      <c r="D29" s="74">
        <v>15</v>
      </c>
      <c r="E29" s="74" t="s">
        <v>639</v>
      </c>
      <c r="F29" s="90">
        <f>材料价格!B34*15+材料价格!B37+材料价格!B8</f>
        <v>1</v>
      </c>
      <c r="G29" s="91"/>
      <c r="H29" s="74">
        <f t="shared" si="0"/>
        <v>-1</v>
      </c>
      <c r="I29" s="90">
        <f t="shared" si="1"/>
        <v>0</v>
      </c>
      <c r="J29" s="113" t="s">
        <v>182</v>
      </c>
      <c r="K29" s="114">
        <v>15</v>
      </c>
      <c r="L29" s="74" t="s">
        <v>188</v>
      </c>
      <c r="M29" s="74">
        <v>1</v>
      </c>
      <c r="N29" s="113" t="s">
        <v>41</v>
      </c>
      <c r="O29" s="114">
        <v>1</v>
      </c>
      <c r="R29" s="113"/>
      <c r="S29" s="114"/>
    </row>
    <row r="30" spans="1:19">
      <c r="A30" s="92" t="s">
        <v>640</v>
      </c>
      <c r="B30" s="93" t="s">
        <v>530</v>
      </c>
      <c r="C30" s="94">
        <v>1</v>
      </c>
      <c r="D30" s="94">
        <v>20</v>
      </c>
      <c r="E30" s="94" t="s">
        <v>641</v>
      </c>
      <c r="F30" s="93">
        <f>F29*3+材料价格!N27*3+材料价格!N29+材料价格!B8</f>
        <v>4</v>
      </c>
      <c r="G30" s="95"/>
      <c r="H30" s="94">
        <f t="shared" si="0"/>
        <v>-4</v>
      </c>
      <c r="I30" s="93">
        <f t="shared" si="1"/>
        <v>0</v>
      </c>
      <c r="J30" s="115" t="s">
        <v>638</v>
      </c>
      <c r="K30" s="116">
        <v>3</v>
      </c>
      <c r="L30" s="94" t="s">
        <v>154</v>
      </c>
      <c r="M30" s="94">
        <v>3</v>
      </c>
      <c r="N30" s="115" t="s">
        <v>164</v>
      </c>
      <c r="O30" s="116">
        <v>1</v>
      </c>
      <c r="P30" s="94" t="s">
        <v>41</v>
      </c>
      <c r="Q30" s="94">
        <v>1</v>
      </c>
      <c r="R30" s="115"/>
      <c r="S30" s="116"/>
    </row>
    <row r="31" spans="1:19">
      <c r="A31" s="85" t="s">
        <v>642</v>
      </c>
      <c r="B31" s="86" t="s">
        <v>571</v>
      </c>
      <c r="C31" s="87">
        <v>1</v>
      </c>
      <c r="D31" s="87">
        <v>15</v>
      </c>
      <c r="E31" s="87" t="s">
        <v>643</v>
      </c>
      <c r="F31" s="86">
        <f>材料价格!B34*15+材料价格!B37+材料价格!B8</f>
        <v>1</v>
      </c>
      <c r="G31" s="88"/>
      <c r="H31" s="87">
        <f t="shared" si="0"/>
        <v>-1</v>
      </c>
      <c r="I31" s="86">
        <f t="shared" si="1"/>
        <v>0</v>
      </c>
      <c r="J31" s="111" t="s">
        <v>182</v>
      </c>
      <c r="K31" s="112">
        <v>15</v>
      </c>
      <c r="L31" s="87" t="s">
        <v>188</v>
      </c>
      <c r="M31" s="87">
        <v>1</v>
      </c>
      <c r="N31" s="111" t="s">
        <v>41</v>
      </c>
      <c r="O31" s="112">
        <v>1</v>
      </c>
      <c r="P31" s="87"/>
      <c r="Q31" s="87"/>
      <c r="R31" s="111"/>
      <c r="S31" s="112"/>
    </row>
    <row r="32" spans="1:19">
      <c r="A32" s="89" t="s">
        <v>644</v>
      </c>
      <c r="B32" s="90" t="s">
        <v>571</v>
      </c>
      <c r="C32" s="74">
        <v>1</v>
      </c>
      <c r="D32" s="74">
        <v>20</v>
      </c>
      <c r="E32" s="74" t="s">
        <v>645</v>
      </c>
      <c r="F32" s="90">
        <f>F31*3+材料价格!N25*3+材料价格!N31+材料价格!B8</f>
        <v>4</v>
      </c>
      <c r="G32" s="91"/>
      <c r="H32" s="74">
        <f t="shared" si="0"/>
        <v>-4</v>
      </c>
      <c r="I32" s="90">
        <f t="shared" si="1"/>
        <v>0</v>
      </c>
      <c r="J32" s="113" t="s">
        <v>642</v>
      </c>
      <c r="K32" s="114">
        <v>3</v>
      </c>
      <c r="L32" s="74" t="s">
        <v>144</v>
      </c>
      <c r="M32" s="74">
        <v>3</v>
      </c>
      <c r="N32" s="113" t="s">
        <v>174</v>
      </c>
      <c r="O32" s="114">
        <v>1</v>
      </c>
      <c r="P32" s="74" t="s">
        <v>41</v>
      </c>
      <c r="Q32" s="74">
        <v>1</v>
      </c>
      <c r="R32" s="113"/>
      <c r="S32" s="114"/>
    </row>
    <row r="33" spans="1:19">
      <c r="A33" s="89" t="s">
        <v>646</v>
      </c>
      <c r="B33" s="90" t="s">
        <v>571</v>
      </c>
      <c r="C33" s="74">
        <v>1</v>
      </c>
      <c r="D33" s="74">
        <v>15</v>
      </c>
      <c r="E33" s="74" t="s">
        <v>647</v>
      </c>
      <c r="F33" s="90">
        <f>材料价格!B35*15+材料价格!B37+材料价格!B8</f>
        <v>1</v>
      </c>
      <c r="G33" s="91"/>
      <c r="H33" s="74">
        <f t="shared" si="0"/>
        <v>-1</v>
      </c>
      <c r="I33" s="90">
        <f t="shared" si="1"/>
        <v>0</v>
      </c>
      <c r="J33" s="113" t="s">
        <v>184</v>
      </c>
      <c r="K33" s="114">
        <v>15</v>
      </c>
      <c r="L33" s="74" t="s">
        <v>188</v>
      </c>
      <c r="M33" s="74">
        <v>1</v>
      </c>
      <c r="N33" s="113" t="s">
        <v>41</v>
      </c>
      <c r="O33" s="114">
        <v>1</v>
      </c>
      <c r="R33" s="113"/>
      <c r="S33" s="114"/>
    </row>
    <row r="34" spans="1:19">
      <c r="A34" s="92" t="s">
        <v>648</v>
      </c>
      <c r="B34" s="93" t="s">
        <v>571</v>
      </c>
      <c r="C34" s="94">
        <v>1</v>
      </c>
      <c r="D34" s="94">
        <v>20</v>
      </c>
      <c r="E34" s="94" t="s">
        <v>649</v>
      </c>
      <c r="F34" s="93">
        <f>F33*3+材料价格!N26*3+材料价格!N32+材料价格!B8</f>
        <v>4</v>
      </c>
      <c r="G34" s="95"/>
      <c r="H34" s="94">
        <f t="shared" si="0"/>
        <v>-4</v>
      </c>
      <c r="I34" s="93">
        <f t="shared" si="1"/>
        <v>0</v>
      </c>
      <c r="J34" s="115" t="s">
        <v>646</v>
      </c>
      <c r="K34" s="116">
        <v>3</v>
      </c>
      <c r="L34" s="94" t="s">
        <v>149</v>
      </c>
      <c r="M34" s="94">
        <v>3</v>
      </c>
      <c r="N34" s="115" t="s">
        <v>178</v>
      </c>
      <c r="O34" s="116">
        <v>1</v>
      </c>
      <c r="P34" s="94" t="s">
        <v>41</v>
      </c>
      <c r="Q34" s="94">
        <v>1</v>
      </c>
      <c r="R34" s="115"/>
      <c r="S34" s="116"/>
    </row>
    <row r="35" spans="1:19">
      <c r="A35" s="96" t="s">
        <v>650</v>
      </c>
      <c r="B35" s="97" t="s">
        <v>550</v>
      </c>
      <c r="C35" s="98">
        <v>1</v>
      </c>
      <c r="D35" s="98">
        <v>15</v>
      </c>
      <c r="E35" s="98"/>
      <c r="F35" s="97">
        <f>材料价格!B18*5+材料价格!B14*5+材料价格!B13*5+材料价格!B17*5+材料价格!B9</f>
        <v>2</v>
      </c>
      <c r="G35" s="99"/>
      <c r="H35" s="98">
        <f t="shared" si="0"/>
        <v>-2</v>
      </c>
      <c r="I35" s="97">
        <f t="shared" si="1"/>
        <v>0</v>
      </c>
      <c r="J35" s="117" t="s">
        <v>101</v>
      </c>
      <c r="K35" s="118">
        <v>5</v>
      </c>
      <c r="L35" s="98" t="s">
        <v>77</v>
      </c>
      <c r="M35" s="98">
        <v>5</v>
      </c>
      <c r="N35" s="117" t="s">
        <v>71</v>
      </c>
      <c r="O35" s="118">
        <v>5</v>
      </c>
      <c r="P35" s="98" t="s">
        <v>95</v>
      </c>
      <c r="Q35" s="98">
        <v>5</v>
      </c>
      <c r="R35" s="117" t="s">
        <v>47</v>
      </c>
      <c r="S35" s="118">
        <v>1</v>
      </c>
    </row>
    <row r="36" spans="1:19">
      <c r="A36" s="100" t="s">
        <v>651</v>
      </c>
      <c r="B36" s="101" t="s">
        <v>550</v>
      </c>
      <c r="C36" s="102">
        <v>1</v>
      </c>
      <c r="D36" s="102">
        <v>21</v>
      </c>
      <c r="E36" s="102"/>
      <c r="F36" s="101">
        <f>材料价格!B27*4+材料价格!B25*4+材料价格!B26*4+材料价格!B36*4</f>
        <v>0</v>
      </c>
      <c r="G36" s="103"/>
      <c r="H36" s="102">
        <f t="shared" si="0"/>
        <v>0</v>
      </c>
      <c r="I36" s="101">
        <f t="shared" si="1"/>
        <v>0</v>
      </c>
      <c r="J36" s="119" t="s">
        <v>150</v>
      </c>
      <c r="K36" s="120">
        <v>4</v>
      </c>
      <c r="L36" s="102" t="s">
        <v>140</v>
      </c>
      <c r="M36" s="102">
        <v>4</v>
      </c>
      <c r="N36" s="119" t="s">
        <v>145</v>
      </c>
      <c r="O36" s="120">
        <v>4</v>
      </c>
      <c r="P36" s="102" t="s">
        <v>186</v>
      </c>
      <c r="Q36" s="102">
        <v>4</v>
      </c>
      <c r="R36" s="119"/>
      <c r="S36" s="120"/>
    </row>
    <row r="37" spans="1:19">
      <c r="A37" s="104" t="s">
        <v>596</v>
      </c>
      <c r="B37" s="105" t="s">
        <v>550</v>
      </c>
      <c r="C37" s="106">
        <v>5</v>
      </c>
      <c r="D37" s="106">
        <v>81</v>
      </c>
      <c r="E37" s="106"/>
      <c r="F37" s="105">
        <f>(材料价格!B32*20+材料价格!B33*20+材料价格!N6)/5</f>
        <v>0</v>
      </c>
      <c r="G37" s="107"/>
      <c r="H37" s="106">
        <f t="shared" si="0"/>
        <v>0</v>
      </c>
      <c r="I37" s="105">
        <f t="shared" si="1"/>
        <v>0</v>
      </c>
      <c r="J37" s="121" t="s">
        <v>175</v>
      </c>
      <c r="K37" s="122">
        <v>20</v>
      </c>
      <c r="L37" s="106" t="s">
        <v>179</v>
      </c>
      <c r="M37" s="106">
        <v>20</v>
      </c>
      <c r="N37" s="121" t="s">
        <v>33</v>
      </c>
      <c r="O37" s="122">
        <v>1</v>
      </c>
      <c r="P37" s="106"/>
      <c r="Q37" s="106"/>
      <c r="R37" s="121"/>
      <c r="S37" s="122"/>
    </row>
    <row r="38" spans="1:19">
      <c r="A38" s="96" t="s">
        <v>652</v>
      </c>
      <c r="B38" s="97" t="s">
        <v>477</v>
      </c>
      <c r="C38" s="98">
        <v>1</v>
      </c>
      <c r="D38" s="98">
        <v>61</v>
      </c>
      <c r="E38" s="98" t="s">
        <v>653</v>
      </c>
      <c r="F38" s="97">
        <f>材料价格!B29*3+材料价格!B21*3+材料价格!Q4+材料价格!Q5+材料价格!B8</f>
        <v>1</v>
      </c>
      <c r="G38" s="99"/>
      <c r="H38" s="98">
        <f t="shared" si="0"/>
        <v>-1</v>
      </c>
      <c r="I38" s="97">
        <f t="shared" si="1"/>
        <v>0</v>
      </c>
      <c r="J38" s="117" t="s">
        <v>160</v>
      </c>
      <c r="K38" s="118">
        <v>3</v>
      </c>
      <c r="L38" s="98" t="s">
        <v>119</v>
      </c>
      <c r="M38" s="98">
        <v>3</v>
      </c>
      <c r="N38" s="117" t="s">
        <v>22</v>
      </c>
      <c r="O38" s="118">
        <v>1</v>
      </c>
      <c r="P38" s="98" t="s">
        <v>28</v>
      </c>
      <c r="Q38" s="98">
        <v>1</v>
      </c>
      <c r="R38" s="117" t="s">
        <v>41</v>
      </c>
      <c r="S38" s="118">
        <v>1</v>
      </c>
    </row>
    <row r="39" spans="1:19">
      <c r="A39" s="100" t="s">
        <v>654</v>
      </c>
      <c r="B39" s="101" t="s">
        <v>477</v>
      </c>
      <c r="C39" s="102">
        <v>1</v>
      </c>
      <c r="D39" s="102">
        <v>25</v>
      </c>
      <c r="E39" s="102" t="s">
        <v>655</v>
      </c>
      <c r="F39" s="101">
        <f>材料价格!B20*3+材料价格!B10*2+材料价格!B4</f>
        <v>0.0015</v>
      </c>
      <c r="G39" s="103"/>
      <c r="H39" s="102">
        <f t="shared" si="0"/>
        <v>-0.0015</v>
      </c>
      <c r="I39" s="101">
        <f t="shared" si="1"/>
        <v>0</v>
      </c>
      <c r="J39" s="119" t="s">
        <v>113</v>
      </c>
      <c r="K39" s="120">
        <v>3</v>
      </c>
      <c r="L39" s="102" t="s">
        <v>53</v>
      </c>
      <c r="M39" s="102">
        <v>2</v>
      </c>
      <c r="N39" s="119" t="s">
        <v>17</v>
      </c>
      <c r="O39" s="120">
        <v>2</v>
      </c>
      <c r="R39" s="119"/>
      <c r="S39" s="120"/>
    </row>
    <row r="40" spans="1:19">
      <c r="A40" s="100" t="s">
        <v>656</v>
      </c>
      <c r="B40" s="101" t="s">
        <v>477</v>
      </c>
      <c r="C40" s="102">
        <v>1</v>
      </c>
      <c r="D40" s="102">
        <v>43</v>
      </c>
      <c r="E40" s="102" t="s">
        <v>657</v>
      </c>
      <c r="F40" s="101">
        <f>材料价格!B30*2+材料价格!B28*2+材料价格!B31*2+材料价格!B5</f>
        <v>0.0025</v>
      </c>
      <c r="G40" s="103"/>
      <c r="H40" s="102">
        <f t="shared" si="0"/>
        <v>-0.0025</v>
      </c>
      <c r="I40" s="101">
        <f t="shared" si="1"/>
        <v>0</v>
      </c>
      <c r="J40" s="119" t="s">
        <v>165</v>
      </c>
      <c r="K40" s="120">
        <v>2</v>
      </c>
      <c r="L40" s="102" t="s">
        <v>155</v>
      </c>
      <c r="M40" s="102">
        <v>2</v>
      </c>
      <c r="N40" s="119" t="s">
        <v>170</v>
      </c>
      <c r="O40" s="120">
        <v>2</v>
      </c>
      <c r="P40" s="74" t="s">
        <v>23</v>
      </c>
      <c r="Q40" s="74">
        <v>1</v>
      </c>
      <c r="R40" s="119"/>
      <c r="S40" s="120"/>
    </row>
    <row r="41" spans="1:19">
      <c r="A41" s="100" t="s">
        <v>658</v>
      </c>
      <c r="B41" s="101" t="s">
        <v>477</v>
      </c>
      <c r="C41" s="102">
        <v>1</v>
      </c>
      <c r="D41" s="102">
        <v>43</v>
      </c>
      <c r="E41" s="102" t="s">
        <v>659</v>
      </c>
      <c r="F41" s="101">
        <f>材料价格!B28*2+材料价格!B5*2</f>
        <v>0.005</v>
      </c>
      <c r="G41" s="103"/>
      <c r="H41" s="102">
        <f t="shared" si="0"/>
        <v>-0.005</v>
      </c>
      <c r="I41" s="101">
        <f t="shared" si="1"/>
        <v>0</v>
      </c>
      <c r="J41" s="119" t="s">
        <v>155</v>
      </c>
      <c r="K41" s="120">
        <v>2</v>
      </c>
      <c r="L41" s="102" t="s">
        <v>23</v>
      </c>
      <c r="M41" s="102">
        <v>2</v>
      </c>
      <c r="N41" s="119"/>
      <c r="O41" s="120"/>
      <c r="P41" s="102"/>
      <c r="Q41" s="102"/>
      <c r="R41" s="119"/>
      <c r="S41" s="120"/>
    </row>
    <row r="42" spans="1:19">
      <c r="A42" s="89" t="s">
        <v>660</v>
      </c>
      <c r="B42" s="90" t="s">
        <v>477</v>
      </c>
      <c r="C42" s="74">
        <v>1</v>
      </c>
      <c r="D42" s="74">
        <v>55</v>
      </c>
      <c r="E42" s="74" t="s">
        <v>661</v>
      </c>
      <c r="F42" s="90">
        <f>材料价格!B17*4+材料价格!Q5+材料价格!B6</f>
        <v>0.005</v>
      </c>
      <c r="G42" s="91"/>
      <c r="H42" s="102">
        <f t="shared" si="0"/>
        <v>-0.005</v>
      </c>
      <c r="I42" s="101">
        <f t="shared" si="1"/>
        <v>0</v>
      </c>
      <c r="J42" s="113" t="s">
        <v>95</v>
      </c>
      <c r="K42" s="114">
        <v>4</v>
      </c>
      <c r="L42" s="74" t="s">
        <v>28</v>
      </c>
      <c r="M42" s="74">
        <v>1</v>
      </c>
      <c r="N42" s="113" t="s">
        <v>29</v>
      </c>
      <c r="O42" s="114">
        <v>2</v>
      </c>
      <c r="R42" s="113"/>
      <c r="S42" s="114"/>
    </row>
    <row r="43" spans="1:19">
      <c r="A43" s="100" t="s">
        <v>662</v>
      </c>
      <c r="B43" s="101" t="s">
        <v>477</v>
      </c>
      <c r="C43" s="102">
        <v>1</v>
      </c>
      <c r="D43" s="102">
        <v>61</v>
      </c>
      <c r="E43" s="102" t="s">
        <v>663</v>
      </c>
      <c r="F43" s="101">
        <f>材料价格!B16*5+材料价格!B36+材料价格!Q4+材料价格!B7*2</f>
        <v>0.06</v>
      </c>
      <c r="G43" s="103"/>
      <c r="H43" s="102">
        <f t="shared" si="0"/>
        <v>-0.06</v>
      </c>
      <c r="I43" s="101">
        <f t="shared" si="1"/>
        <v>0</v>
      </c>
      <c r="J43" s="119" t="s">
        <v>89</v>
      </c>
      <c r="K43" s="120">
        <v>5</v>
      </c>
      <c r="L43" s="102" t="s">
        <v>186</v>
      </c>
      <c r="M43" s="102">
        <v>1</v>
      </c>
      <c r="N43" s="119" t="s">
        <v>22</v>
      </c>
      <c r="O43" s="120">
        <v>1</v>
      </c>
      <c r="P43" s="102" t="s">
        <v>35</v>
      </c>
      <c r="Q43" s="102">
        <v>2</v>
      </c>
      <c r="R43" s="113"/>
      <c r="S43" s="114"/>
    </row>
    <row r="44" spans="1:19">
      <c r="A44" s="100" t="s">
        <v>664</v>
      </c>
      <c r="B44" s="101" t="s">
        <v>477</v>
      </c>
      <c r="C44" s="102">
        <v>1</v>
      </c>
      <c r="D44" s="102">
        <v>61</v>
      </c>
      <c r="E44" s="102" t="s">
        <v>665</v>
      </c>
      <c r="F44" s="101">
        <f>材料价格!B24*3+材料价格!B16*3+材料价格!Q4+材料价格!Q5+材料价格!B8</f>
        <v>1</v>
      </c>
      <c r="G44" s="103"/>
      <c r="H44" s="102">
        <f t="shared" si="0"/>
        <v>-1</v>
      </c>
      <c r="I44" s="101">
        <f t="shared" si="1"/>
        <v>0</v>
      </c>
      <c r="J44" s="119" t="s">
        <v>135</v>
      </c>
      <c r="K44" s="120">
        <v>3</v>
      </c>
      <c r="L44" s="102" t="s">
        <v>89</v>
      </c>
      <c r="M44" s="102">
        <v>3</v>
      </c>
      <c r="N44" s="119" t="s">
        <v>22</v>
      </c>
      <c r="O44" s="120">
        <v>1</v>
      </c>
      <c r="P44" s="102" t="s">
        <v>28</v>
      </c>
      <c r="Q44" s="102">
        <v>1</v>
      </c>
      <c r="R44" s="113" t="s">
        <v>41</v>
      </c>
      <c r="S44" s="114">
        <v>1</v>
      </c>
    </row>
    <row r="45" spans="1:19">
      <c r="A45" s="100" t="s">
        <v>666</v>
      </c>
      <c r="B45" s="101" t="s">
        <v>477</v>
      </c>
      <c r="C45" s="102">
        <v>1</v>
      </c>
      <c r="D45" s="102">
        <v>55</v>
      </c>
      <c r="E45" s="102" t="s">
        <v>667</v>
      </c>
      <c r="F45" s="101">
        <f>材料价格!B15*3+材料价格!B28*2+材料价格!Q6+材料价格!B5*2</f>
        <v>0.005</v>
      </c>
      <c r="G45" s="103"/>
      <c r="H45" s="102">
        <f t="shared" si="0"/>
        <v>-0.005</v>
      </c>
      <c r="I45" s="101">
        <f t="shared" si="1"/>
        <v>0</v>
      </c>
      <c r="J45" s="119" t="s">
        <v>83</v>
      </c>
      <c r="K45" s="120">
        <v>3</v>
      </c>
      <c r="L45" s="102" t="s">
        <v>155</v>
      </c>
      <c r="M45" s="102">
        <v>2</v>
      </c>
      <c r="N45" s="119" t="s">
        <v>34</v>
      </c>
      <c r="O45" s="120">
        <v>1</v>
      </c>
      <c r="P45" s="74" t="s">
        <v>23</v>
      </c>
      <c r="Q45" s="74">
        <v>2</v>
      </c>
      <c r="R45" s="119"/>
      <c r="S45" s="120"/>
    </row>
    <row r="46" spans="1:19">
      <c r="A46" s="100" t="s">
        <v>668</v>
      </c>
      <c r="B46" s="101" t="s">
        <v>477</v>
      </c>
      <c r="C46" s="102">
        <v>1</v>
      </c>
      <c r="D46" s="102">
        <v>61</v>
      </c>
      <c r="E46" s="102" t="s">
        <v>669</v>
      </c>
      <c r="F46" s="101">
        <f>材料价格!B29*5+材料价格!B36+材料价格!B7*5</f>
        <v>0.15</v>
      </c>
      <c r="G46" s="103"/>
      <c r="H46" s="102">
        <f t="shared" si="0"/>
        <v>-0.15</v>
      </c>
      <c r="I46" s="101">
        <f t="shared" si="1"/>
        <v>0</v>
      </c>
      <c r="J46" s="119" t="s">
        <v>160</v>
      </c>
      <c r="K46" s="120">
        <v>5</v>
      </c>
      <c r="L46" s="102" t="s">
        <v>186</v>
      </c>
      <c r="M46" s="102">
        <v>1</v>
      </c>
      <c r="N46" s="119" t="s">
        <v>35</v>
      </c>
      <c r="O46" s="120">
        <v>5</v>
      </c>
      <c r="P46" s="102"/>
      <c r="Q46" s="102"/>
      <c r="R46" s="119"/>
      <c r="S46" s="120"/>
    </row>
    <row r="47" spans="1:19">
      <c r="A47" s="104" t="s">
        <v>670</v>
      </c>
      <c r="B47" s="105" t="s">
        <v>477</v>
      </c>
      <c r="C47" s="106">
        <v>1</v>
      </c>
      <c r="D47" s="106">
        <v>61</v>
      </c>
      <c r="E47" s="106" t="s">
        <v>671</v>
      </c>
      <c r="F47" s="105">
        <f>F35+材料价格!B9*2</f>
        <v>6</v>
      </c>
      <c r="G47" s="107"/>
      <c r="H47" s="106">
        <f t="shared" si="0"/>
        <v>-6</v>
      </c>
      <c r="I47" s="105">
        <f t="shared" si="1"/>
        <v>-0.1</v>
      </c>
      <c r="J47" s="121" t="s">
        <v>650</v>
      </c>
      <c r="K47" s="122">
        <v>1</v>
      </c>
      <c r="L47" s="106" t="s">
        <v>47</v>
      </c>
      <c r="M47" s="106">
        <v>2</v>
      </c>
      <c r="N47" s="121"/>
      <c r="O47" s="122"/>
      <c r="P47" s="106"/>
      <c r="Q47" s="106"/>
      <c r="R47" s="121"/>
      <c r="S47" s="122"/>
    </row>
  </sheetData>
  <mergeCells count="3">
    <mergeCell ref="A1:E1"/>
    <mergeCell ref="H1:I1"/>
    <mergeCell ref="J1:S1"/>
  </mergeCells>
  <pageMargins left="0.699305555555556" right="0.699305555555556" top="0.75" bottom="0.75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84"/>
  <sheetViews>
    <sheetView workbookViewId="0">
      <pane ySplit="2" topLeftCell="A3" activePane="bottomLeft" state="frozen"/>
      <selection/>
      <selection pane="bottomLeft" activeCell="A1" sqref="A1:A2"/>
    </sheetView>
  </sheetViews>
  <sheetFormatPr defaultColWidth="9" defaultRowHeight="16.5"/>
  <cols>
    <col min="1" max="1" width="9" style="1"/>
    <col min="2" max="2" width="17.125" style="2" customWidth="1"/>
    <col min="3" max="4" width="10.125" style="2" customWidth="1"/>
    <col min="5" max="5" width="10.125" style="3" customWidth="1"/>
    <col min="6" max="7" width="11.625" style="4" customWidth="1"/>
    <col min="8" max="16384" width="9" style="2"/>
  </cols>
  <sheetData>
    <row r="1" ht="28.5" spans="1:8">
      <c r="A1" s="5" t="s">
        <v>672</v>
      </c>
      <c r="B1" s="6" t="s">
        <v>203</v>
      </c>
      <c r="C1" s="6"/>
      <c r="D1" s="6"/>
      <c r="E1" s="7" t="s">
        <v>673</v>
      </c>
      <c r="F1" s="8" t="s">
        <v>206</v>
      </c>
      <c r="G1" s="8"/>
      <c r="H1" s="8"/>
    </row>
    <row r="2" s="1" customFormat="1" ht="18" spans="1:8">
      <c r="A2" s="5"/>
      <c r="B2" s="9" t="s">
        <v>14</v>
      </c>
      <c r="C2" s="10" t="s">
        <v>674</v>
      </c>
      <c r="D2" s="9" t="s">
        <v>675</v>
      </c>
      <c r="E2" s="11" t="s">
        <v>212</v>
      </c>
      <c r="F2" s="12" t="s">
        <v>676</v>
      </c>
      <c r="G2" s="12" t="s">
        <v>677</v>
      </c>
      <c r="H2" s="13" t="s">
        <v>678</v>
      </c>
    </row>
    <row r="3" ht="17.25" spans="1:8">
      <c r="A3" s="14" t="s">
        <v>209</v>
      </c>
      <c r="B3" s="15" t="s">
        <v>577</v>
      </c>
      <c r="C3" s="16">
        <v>61</v>
      </c>
      <c r="D3" s="17"/>
      <c r="E3" s="18"/>
      <c r="F3" s="19">
        <f>E3/C3</f>
        <v>0</v>
      </c>
      <c r="G3" s="20"/>
      <c r="H3" s="21">
        <f t="shared" ref="H3:H10" si="0">E3*20</f>
        <v>0</v>
      </c>
    </row>
    <row r="4" ht="17.25" spans="1:8">
      <c r="A4" s="22"/>
      <c r="B4" s="15" t="s">
        <v>575</v>
      </c>
      <c r="C4" s="16">
        <v>30</v>
      </c>
      <c r="D4" s="23"/>
      <c r="E4" s="18"/>
      <c r="F4" s="19">
        <f>E4/C4</f>
        <v>0</v>
      </c>
      <c r="G4" s="24"/>
      <c r="H4" s="21">
        <f t="shared" si="0"/>
        <v>0</v>
      </c>
    </row>
    <row r="5" ht="17.25" spans="1:8">
      <c r="A5" s="22"/>
      <c r="B5" s="15" t="s">
        <v>573</v>
      </c>
      <c r="C5" s="16">
        <v>24</v>
      </c>
      <c r="D5" s="23"/>
      <c r="E5" s="18"/>
      <c r="F5" s="19">
        <f t="shared" ref="F5:F18" si="1">E5/C5</f>
        <v>0</v>
      </c>
      <c r="G5" s="24"/>
      <c r="H5" s="21">
        <f t="shared" si="0"/>
        <v>0</v>
      </c>
    </row>
    <row r="6" ht="17.25" spans="1:8">
      <c r="A6" s="22"/>
      <c r="B6" s="15" t="s">
        <v>570</v>
      </c>
      <c r="C6" s="16">
        <v>22</v>
      </c>
      <c r="D6" s="23"/>
      <c r="E6" s="18"/>
      <c r="F6" s="19">
        <f t="shared" si="1"/>
        <v>0</v>
      </c>
      <c r="G6" s="24"/>
      <c r="H6" s="21">
        <f t="shared" si="0"/>
        <v>0</v>
      </c>
    </row>
    <row r="7" ht="17.25" spans="1:8">
      <c r="A7" s="22"/>
      <c r="B7" s="15" t="s">
        <v>679</v>
      </c>
      <c r="C7" s="16">
        <v>20</v>
      </c>
      <c r="D7" s="23"/>
      <c r="E7" s="18"/>
      <c r="F7" s="19">
        <f t="shared" si="1"/>
        <v>0</v>
      </c>
      <c r="G7" s="24"/>
      <c r="H7" s="21">
        <f t="shared" si="0"/>
        <v>0</v>
      </c>
    </row>
    <row r="8" ht="17.25" spans="1:8">
      <c r="A8" s="22"/>
      <c r="B8" s="15" t="s">
        <v>680</v>
      </c>
      <c r="C8" s="16">
        <v>23</v>
      </c>
      <c r="D8" s="23"/>
      <c r="E8" s="18"/>
      <c r="F8" s="19">
        <f t="shared" si="1"/>
        <v>0</v>
      </c>
      <c r="G8" s="24"/>
      <c r="H8" s="21">
        <f t="shared" si="0"/>
        <v>0</v>
      </c>
    </row>
    <row r="9" ht="17.25" spans="1:8">
      <c r="A9" s="22"/>
      <c r="B9" s="15" t="s">
        <v>681</v>
      </c>
      <c r="C9" s="16">
        <v>18</v>
      </c>
      <c r="D9" s="23"/>
      <c r="E9" s="18"/>
      <c r="F9" s="19">
        <f t="shared" si="1"/>
        <v>0</v>
      </c>
      <c r="G9" s="24"/>
      <c r="H9" s="21">
        <f t="shared" si="0"/>
        <v>0</v>
      </c>
    </row>
    <row r="10" ht="17.25" spans="1:8">
      <c r="A10" s="22"/>
      <c r="B10" s="15" t="s">
        <v>682</v>
      </c>
      <c r="C10" s="16">
        <v>13</v>
      </c>
      <c r="D10" s="23"/>
      <c r="E10" s="18"/>
      <c r="F10" s="19">
        <f t="shared" si="1"/>
        <v>0</v>
      </c>
      <c r="G10" s="24"/>
      <c r="H10" s="21">
        <f t="shared" si="0"/>
        <v>0</v>
      </c>
    </row>
    <row r="11" ht="17.25" spans="1:8">
      <c r="A11" s="22"/>
      <c r="B11" s="15" t="s">
        <v>683</v>
      </c>
      <c r="C11" s="16">
        <v>9</v>
      </c>
      <c r="D11" s="23"/>
      <c r="E11" s="18"/>
      <c r="F11" s="19">
        <f t="shared" si="1"/>
        <v>0</v>
      </c>
      <c r="G11" s="24"/>
      <c r="H11" s="21">
        <f t="shared" ref="H11:H39" si="2">E11*20</f>
        <v>0</v>
      </c>
    </row>
    <row r="12" ht="17.25" spans="1:8">
      <c r="A12" s="22"/>
      <c r="B12" s="15" t="s">
        <v>684</v>
      </c>
      <c r="C12" s="16">
        <v>5</v>
      </c>
      <c r="D12" s="23"/>
      <c r="E12" s="18"/>
      <c r="F12" s="19">
        <f t="shared" si="1"/>
        <v>0</v>
      </c>
      <c r="G12" s="24"/>
      <c r="H12" s="21">
        <f t="shared" si="2"/>
        <v>0</v>
      </c>
    </row>
    <row r="13" ht="17.25" spans="1:8">
      <c r="A13" s="22"/>
      <c r="B13" s="15" t="s">
        <v>685</v>
      </c>
      <c r="C13" s="16">
        <v>5</v>
      </c>
      <c r="D13" s="23"/>
      <c r="E13" s="18"/>
      <c r="F13" s="19">
        <f t="shared" si="1"/>
        <v>0</v>
      </c>
      <c r="G13" s="24"/>
      <c r="H13" s="21">
        <f t="shared" si="2"/>
        <v>0</v>
      </c>
    </row>
    <row r="14" ht="17.25" spans="1:8">
      <c r="A14" s="22"/>
      <c r="B14" s="15" t="s">
        <v>686</v>
      </c>
      <c r="C14" s="16">
        <v>5</v>
      </c>
      <c r="D14" s="23"/>
      <c r="E14" s="18"/>
      <c r="F14" s="19">
        <f t="shared" si="1"/>
        <v>0</v>
      </c>
      <c r="G14" s="24"/>
      <c r="H14" s="21">
        <f t="shared" si="2"/>
        <v>0</v>
      </c>
    </row>
    <row r="15" ht="17.25" spans="1:8">
      <c r="A15" s="22"/>
      <c r="B15" s="15" t="s">
        <v>687</v>
      </c>
      <c r="C15" s="16">
        <v>5</v>
      </c>
      <c r="D15" s="23"/>
      <c r="E15" s="18"/>
      <c r="F15" s="19">
        <f t="shared" si="1"/>
        <v>0</v>
      </c>
      <c r="G15" s="24"/>
      <c r="H15" s="21">
        <f t="shared" si="2"/>
        <v>0</v>
      </c>
    </row>
    <row r="16" ht="17.25" spans="1:8">
      <c r="A16" s="22"/>
      <c r="B16" s="15" t="s">
        <v>688</v>
      </c>
      <c r="C16" s="16">
        <v>4</v>
      </c>
      <c r="D16" s="23"/>
      <c r="E16" s="18"/>
      <c r="F16" s="19">
        <f t="shared" si="1"/>
        <v>0</v>
      </c>
      <c r="G16" s="24"/>
      <c r="H16" s="21">
        <f t="shared" si="2"/>
        <v>0</v>
      </c>
    </row>
    <row r="17" ht="17.25" spans="1:8">
      <c r="A17" s="22"/>
      <c r="B17" s="15" t="s">
        <v>689</v>
      </c>
      <c r="C17" s="16">
        <v>4</v>
      </c>
      <c r="D17" s="23"/>
      <c r="E17" s="18"/>
      <c r="F17" s="19">
        <f t="shared" si="1"/>
        <v>0</v>
      </c>
      <c r="G17" s="24"/>
      <c r="H17" s="21">
        <f t="shared" si="2"/>
        <v>0</v>
      </c>
    </row>
    <row r="18" ht="17.25" spans="1:8">
      <c r="A18" s="25"/>
      <c r="B18" s="15" t="s">
        <v>690</v>
      </c>
      <c r="C18" s="16">
        <v>4</v>
      </c>
      <c r="D18" s="26"/>
      <c r="E18" s="18"/>
      <c r="F18" s="19">
        <f t="shared" si="1"/>
        <v>0</v>
      </c>
      <c r="G18" s="27"/>
      <c r="H18" s="21">
        <f t="shared" si="2"/>
        <v>0</v>
      </c>
    </row>
    <row r="19" spans="1:8">
      <c r="A19" s="28"/>
      <c r="B19" s="28"/>
      <c r="C19" s="28"/>
      <c r="D19" s="28"/>
      <c r="E19" s="28"/>
      <c r="F19" s="28"/>
      <c r="G19" s="28"/>
      <c r="H19" s="28"/>
    </row>
    <row r="20" ht="17.25" spans="1:8">
      <c r="A20" s="14" t="s">
        <v>691</v>
      </c>
      <c r="B20" s="21" t="s">
        <v>585</v>
      </c>
      <c r="C20" s="29"/>
      <c r="D20" s="21">
        <v>61</v>
      </c>
      <c r="E20" s="30"/>
      <c r="F20" s="29"/>
      <c r="G20" s="31">
        <f>E20/D20</f>
        <v>0</v>
      </c>
      <c r="H20" s="21">
        <f t="shared" si="2"/>
        <v>0</v>
      </c>
    </row>
    <row r="21" ht="17.25" spans="1:8">
      <c r="A21" s="22"/>
      <c r="B21" s="32" t="s">
        <v>583</v>
      </c>
      <c r="C21" s="33"/>
      <c r="D21" s="32">
        <v>32</v>
      </c>
      <c r="E21" s="34"/>
      <c r="F21" s="33"/>
      <c r="G21" s="31">
        <f>E21/D21</f>
        <v>0</v>
      </c>
      <c r="H21" s="21">
        <f t="shared" si="2"/>
        <v>0</v>
      </c>
    </row>
    <row r="22" ht="17.25" spans="1:8">
      <c r="A22" s="22"/>
      <c r="B22" s="32" t="s">
        <v>581</v>
      </c>
      <c r="C22" s="33"/>
      <c r="D22" s="32">
        <v>28</v>
      </c>
      <c r="E22" s="34"/>
      <c r="F22" s="33"/>
      <c r="G22" s="31">
        <f t="shared" ref="G22:G33" si="3">E22/D22</f>
        <v>0</v>
      </c>
      <c r="H22" s="21">
        <f t="shared" si="2"/>
        <v>0</v>
      </c>
    </row>
    <row r="23" ht="17.25" spans="1:8">
      <c r="A23" s="22"/>
      <c r="B23" s="32" t="s">
        <v>579</v>
      </c>
      <c r="C23" s="33"/>
      <c r="D23" s="32">
        <v>24</v>
      </c>
      <c r="E23" s="34"/>
      <c r="F23" s="33"/>
      <c r="G23" s="31">
        <f t="shared" si="3"/>
        <v>0</v>
      </c>
      <c r="H23" s="21">
        <f t="shared" si="2"/>
        <v>0</v>
      </c>
    </row>
    <row r="24" ht="17.25" spans="1:8">
      <c r="A24" s="22"/>
      <c r="B24" s="32" t="s">
        <v>692</v>
      </c>
      <c r="C24" s="33"/>
      <c r="D24" s="32">
        <v>22</v>
      </c>
      <c r="E24" s="34"/>
      <c r="F24" s="33"/>
      <c r="G24" s="31">
        <f t="shared" si="3"/>
        <v>0</v>
      </c>
      <c r="H24" s="21">
        <f t="shared" si="2"/>
        <v>0</v>
      </c>
    </row>
    <row r="25" ht="17.25" spans="1:8">
      <c r="A25" s="22"/>
      <c r="B25" s="32" t="s">
        <v>693</v>
      </c>
      <c r="C25" s="33"/>
      <c r="D25" s="32">
        <v>21</v>
      </c>
      <c r="E25" s="34"/>
      <c r="F25" s="33"/>
      <c r="G25" s="31">
        <f t="shared" si="3"/>
        <v>0</v>
      </c>
      <c r="H25" s="21">
        <f t="shared" si="2"/>
        <v>0</v>
      </c>
    </row>
    <row r="26" ht="17.25" spans="1:8">
      <c r="A26" s="22"/>
      <c r="B26" s="32" t="s">
        <v>694</v>
      </c>
      <c r="C26" s="33"/>
      <c r="D26" s="32">
        <v>15</v>
      </c>
      <c r="E26" s="34"/>
      <c r="F26" s="33"/>
      <c r="G26" s="31">
        <f t="shared" si="3"/>
        <v>0</v>
      </c>
      <c r="H26" s="21">
        <f t="shared" si="2"/>
        <v>0</v>
      </c>
    </row>
    <row r="27" ht="17.25" spans="1:8">
      <c r="A27" s="22"/>
      <c r="B27" s="32" t="s">
        <v>695</v>
      </c>
      <c r="C27" s="33"/>
      <c r="D27" s="32">
        <v>10</v>
      </c>
      <c r="E27" s="34"/>
      <c r="F27" s="33"/>
      <c r="G27" s="31">
        <f t="shared" si="3"/>
        <v>0</v>
      </c>
      <c r="H27" s="21">
        <f t="shared" si="2"/>
        <v>0</v>
      </c>
    </row>
    <row r="28" ht="17.25" spans="1:8">
      <c r="A28" s="22"/>
      <c r="B28" s="32" t="s">
        <v>696</v>
      </c>
      <c r="C28" s="33"/>
      <c r="D28" s="32">
        <v>7</v>
      </c>
      <c r="E28" s="34"/>
      <c r="F28" s="33"/>
      <c r="G28" s="31">
        <f t="shared" si="3"/>
        <v>0</v>
      </c>
      <c r="H28" s="21">
        <f t="shared" si="2"/>
        <v>0</v>
      </c>
    </row>
    <row r="29" ht="17.25" spans="1:8">
      <c r="A29" s="22"/>
      <c r="B29" s="32" t="s">
        <v>697</v>
      </c>
      <c r="C29" s="33"/>
      <c r="D29" s="32">
        <v>7</v>
      </c>
      <c r="E29" s="34"/>
      <c r="F29" s="33"/>
      <c r="G29" s="31">
        <f t="shared" si="3"/>
        <v>0</v>
      </c>
      <c r="H29" s="21">
        <f t="shared" si="2"/>
        <v>0</v>
      </c>
    </row>
    <row r="30" ht="17.25" spans="1:8">
      <c r="A30" s="22"/>
      <c r="B30" s="32" t="s">
        <v>698</v>
      </c>
      <c r="C30" s="33"/>
      <c r="D30" s="32">
        <v>7</v>
      </c>
      <c r="E30" s="34"/>
      <c r="F30" s="33"/>
      <c r="G30" s="31">
        <f t="shared" si="3"/>
        <v>0</v>
      </c>
      <c r="H30" s="21">
        <f t="shared" si="2"/>
        <v>0</v>
      </c>
    </row>
    <row r="31" ht="17.25" spans="1:8">
      <c r="A31" s="22"/>
      <c r="B31" s="32" t="s">
        <v>699</v>
      </c>
      <c r="C31" s="33"/>
      <c r="D31" s="32">
        <v>7</v>
      </c>
      <c r="E31" s="34"/>
      <c r="F31" s="33"/>
      <c r="G31" s="31">
        <f t="shared" si="3"/>
        <v>0</v>
      </c>
      <c r="H31" s="21">
        <f t="shared" si="2"/>
        <v>0</v>
      </c>
    </row>
    <row r="32" ht="17.25" spans="1:8">
      <c r="A32" s="22"/>
      <c r="B32" s="32" t="s">
        <v>700</v>
      </c>
      <c r="C32" s="33"/>
      <c r="D32" s="32">
        <v>7</v>
      </c>
      <c r="E32" s="34"/>
      <c r="F32" s="33"/>
      <c r="G32" s="31">
        <f t="shared" si="3"/>
        <v>0</v>
      </c>
      <c r="H32" s="21">
        <f t="shared" si="2"/>
        <v>0</v>
      </c>
    </row>
    <row r="33" ht="17.25" spans="1:8">
      <c r="A33" s="25"/>
      <c r="B33" s="32" t="s">
        <v>701</v>
      </c>
      <c r="C33" s="35"/>
      <c r="D33" s="32">
        <v>6</v>
      </c>
      <c r="E33" s="34"/>
      <c r="F33" s="35"/>
      <c r="G33" s="31">
        <f t="shared" si="3"/>
        <v>0</v>
      </c>
      <c r="H33" s="21">
        <f t="shared" si="2"/>
        <v>0</v>
      </c>
    </row>
    <row r="34" spans="1:8">
      <c r="A34" s="28"/>
      <c r="B34" s="28"/>
      <c r="C34" s="28"/>
      <c r="D34" s="28"/>
      <c r="E34" s="28"/>
      <c r="F34" s="28"/>
      <c r="G34" s="28"/>
      <c r="H34" s="28"/>
    </row>
    <row r="35" ht="17.25" spans="1:8">
      <c r="A35" s="36" t="s">
        <v>702</v>
      </c>
      <c r="B35" s="37" t="s">
        <v>703</v>
      </c>
      <c r="C35" s="38">
        <v>16</v>
      </c>
      <c r="D35" s="37">
        <v>18</v>
      </c>
      <c r="E35" s="39"/>
      <c r="F35" s="40">
        <f t="shared" ref="F35:F39" si="4">(C35/(C35+D35)*E35)/C35</f>
        <v>0</v>
      </c>
      <c r="G35" s="40">
        <f t="shared" ref="G35:G39" si="5">(D35/(C35+D35)*E35)/D35</f>
        <v>0</v>
      </c>
      <c r="H35" s="21">
        <f t="shared" si="2"/>
        <v>0</v>
      </c>
    </row>
    <row r="36" ht="17.25" spans="1:8">
      <c r="A36" s="22"/>
      <c r="B36" s="37" t="s">
        <v>704</v>
      </c>
      <c r="C36" s="38">
        <v>10</v>
      </c>
      <c r="D36" s="37">
        <v>12</v>
      </c>
      <c r="E36" s="39"/>
      <c r="F36" s="40">
        <f t="shared" si="4"/>
        <v>0</v>
      </c>
      <c r="G36" s="40">
        <f t="shared" si="5"/>
        <v>0</v>
      </c>
      <c r="H36" s="21">
        <f t="shared" si="2"/>
        <v>0</v>
      </c>
    </row>
    <row r="37" ht="17.25" spans="1:8">
      <c r="A37" s="22"/>
      <c r="B37" s="37" t="s">
        <v>705</v>
      </c>
      <c r="C37" s="38">
        <v>10</v>
      </c>
      <c r="D37" s="37">
        <v>12</v>
      </c>
      <c r="E37" s="39"/>
      <c r="F37" s="40">
        <f t="shared" si="4"/>
        <v>0</v>
      </c>
      <c r="G37" s="40">
        <f t="shared" si="5"/>
        <v>0</v>
      </c>
      <c r="H37" s="21">
        <f t="shared" si="2"/>
        <v>0</v>
      </c>
    </row>
    <row r="38" ht="17.25" spans="1:8">
      <c r="A38" s="22"/>
      <c r="B38" s="37" t="s">
        <v>706</v>
      </c>
      <c r="C38" s="38">
        <v>12</v>
      </c>
      <c r="D38" s="37">
        <v>13</v>
      </c>
      <c r="E38" s="39"/>
      <c r="F38" s="40">
        <f t="shared" si="4"/>
        <v>0</v>
      </c>
      <c r="G38" s="40">
        <f t="shared" si="5"/>
        <v>0</v>
      </c>
      <c r="H38" s="21">
        <f t="shared" si="2"/>
        <v>0</v>
      </c>
    </row>
    <row r="39" ht="17.25" spans="1:8">
      <c r="A39" s="25"/>
      <c r="B39" s="37" t="s">
        <v>707</v>
      </c>
      <c r="C39" s="38">
        <v>8</v>
      </c>
      <c r="D39" s="37">
        <v>8</v>
      </c>
      <c r="E39" s="39"/>
      <c r="F39" s="40">
        <f t="shared" si="4"/>
        <v>0</v>
      </c>
      <c r="G39" s="40">
        <f t="shared" si="5"/>
        <v>0</v>
      </c>
      <c r="H39" s="21">
        <f t="shared" si="2"/>
        <v>0</v>
      </c>
    </row>
    <row r="40" spans="1:8">
      <c r="A40" s="28"/>
      <c r="B40" s="28"/>
      <c r="C40" s="28"/>
      <c r="D40" s="28"/>
      <c r="E40" s="28"/>
      <c r="F40" s="28"/>
      <c r="G40" s="28"/>
      <c r="H40" s="28"/>
    </row>
    <row r="41" s="1" customFormat="1" ht="18" spans="1:8">
      <c r="A41" s="14" t="s">
        <v>708</v>
      </c>
      <c r="B41" s="41" t="s">
        <v>708</v>
      </c>
      <c r="C41" s="42" t="s">
        <v>709</v>
      </c>
      <c r="D41" s="41" t="s">
        <v>710</v>
      </c>
      <c r="E41" s="43" t="s">
        <v>212</v>
      </c>
      <c r="F41" s="44" t="s">
        <v>711</v>
      </c>
      <c r="G41" s="45"/>
      <c r="H41" s="46" t="s">
        <v>678</v>
      </c>
    </row>
    <row r="42" ht="17.25" spans="1:8">
      <c r="A42" s="22"/>
      <c r="B42" s="47" t="s">
        <v>712</v>
      </c>
      <c r="C42" s="48">
        <v>9</v>
      </c>
      <c r="D42" s="47">
        <v>6</v>
      </c>
      <c r="E42" s="49"/>
      <c r="F42" s="50">
        <f>E42/D42</f>
        <v>0</v>
      </c>
      <c r="G42" s="51"/>
      <c r="H42" s="52">
        <f>E42*2</f>
        <v>0</v>
      </c>
    </row>
    <row r="43" ht="17.25" spans="1:8">
      <c r="A43" s="22"/>
      <c r="B43" s="47" t="s">
        <v>713</v>
      </c>
      <c r="C43" s="48">
        <v>15</v>
      </c>
      <c r="D43" s="47">
        <v>8</v>
      </c>
      <c r="E43" s="49"/>
      <c r="F43" s="50">
        <f t="shared" ref="F43:F50" si="6">E43/D43</f>
        <v>0</v>
      </c>
      <c r="G43" s="51"/>
      <c r="H43" s="52">
        <f t="shared" ref="H43:H50" si="7">E43*2</f>
        <v>0</v>
      </c>
    </row>
    <row r="44" ht="17.25" spans="1:8">
      <c r="A44" s="22"/>
      <c r="B44" s="47" t="s">
        <v>714</v>
      </c>
      <c r="C44" s="48">
        <v>21</v>
      </c>
      <c r="D44" s="47">
        <v>12</v>
      </c>
      <c r="E44" s="49"/>
      <c r="F44" s="50">
        <f t="shared" si="6"/>
        <v>0</v>
      </c>
      <c r="G44" s="51"/>
      <c r="H44" s="52">
        <f t="shared" si="7"/>
        <v>0</v>
      </c>
    </row>
    <row r="45" ht="17.25" spans="1:8">
      <c r="A45" s="22"/>
      <c r="B45" s="47" t="s">
        <v>715</v>
      </c>
      <c r="C45" s="48">
        <v>7</v>
      </c>
      <c r="D45" s="47">
        <v>14</v>
      </c>
      <c r="E45" s="49"/>
      <c r="F45" s="50">
        <f t="shared" si="6"/>
        <v>0</v>
      </c>
      <c r="G45" s="51"/>
      <c r="H45" s="52">
        <f t="shared" si="7"/>
        <v>0</v>
      </c>
    </row>
    <row r="46" ht="17.25" spans="1:8">
      <c r="A46" s="22"/>
      <c r="B46" s="47" t="s">
        <v>716</v>
      </c>
      <c r="C46" s="48">
        <v>21</v>
      </c>
      <c r="D46" s="47">
        <v>18</v>
      </c>
      <c r="E46" s="49"/>
      <c r="F46" s="50">
        <f t="shared" si="6"/>
        <v>0</v>
      </c>
      <c r="G46" s="51"/>
      <c r="H46" s="52">
        <f t="shared" si="7"/>
        <v>0</v>
      </c>
    </row>
    <row r="47" ht="17.25" spans="1:8">
      <c r="A47" s="22"/>
      <c r="B47" s="47" t="s">
        <v>717</v>
      </c>
      <c r="C47" s="48">
        <v>7</v>
      </c>
      <c r="D47" s="47">
        <v>14</v>
      </c>
      <c r="E47" s="49"/>
      <c r="F47" s="50">
        <f t="shared" si="6"/>
        <v>0</v>
      </c>
      <c r="G47" s="51"/>
      <c r="H47" s="52">
        <f t="shared" si="7"/>
        <v>0</v>
      </c>
    </row>
    <row r="48" ht="17.25" spans="1:8">
      <c r="A48" s="22"/>
      <c r="B48" s="47" t="s">
        <v>718</v>
      </c>
      <c r="C48" s="48">
        <v>21</v>
      </c>
      <c r="D48" s="47">
        <v>18</v>
      </c>
      <c r="E48" s="49"/>
      <c r="F48" s="50">
        <f t="shared" si="6"/>
        <v>0</v>
      </c>
      <c r="G48" s="51"/>
      <c r="H48" s="52">
        <f t="shared" si="7"/>
        <v>0</v>
      </c>
    </row>
    <row r="49" ht="17.25" spans="1:8">
      <c r="A49" s="22"/>
      <c r="B49" s="47" t="s">
        <v>719</v>
      </c>
      <c r="C49" s="48">
        <v>19</v>
      </c>
      <c r="D49" s="47">
        <v>10</v>
      </c>
      <c r="E49" s="49"/>
      <c r="F49" s="50">
        <f t="shared" si="6"/>
        <v>0</v>
      </c>
      <c r="G49" s="51"/>
      <c r="H49" s="52">
        <f t="shared" si="7"/>
        <v>0</v>
      </c>
    </row>
    <row r="50" ht="17.25" spans="1:8">
      <c r="A50" s="25"/>
      <c r="B50" s="47" t="s">
        <v>720</v>
      </c>
      <c r="C50" s="48">
        <v>7</v>
      </c>
      <c r="D50" s="47">
        <v>4</v>
      </c>
      <c r="E50" s="49"/>
      <c r="F50" s="50">
        <f t="shared" si="6"/>
        <v>0</v>
      </c>
      <c r="G50" s="51"/>
      <c r="H50" s="52">
        <f t="shared" si="7"/>
        <v>0</v>
      </c>
    </row>
    <row r="51" spans="1:8">
      <c r="A51" s="28"/>
      <c r="B51" s="28"/>
      <c r="C51" s="28"/>
      <c r="D51" s="28"/>
      <c r="E51" s="28"/>
      <c r="F51" s="28"/>
      <c r="G51" s="28"/>
      <c r="H51" s="53"/>
    </row>
    <row r="52" s="1" customFormat="1" ht="18" spans="1:8">
      <c r="A52" s="14" t="s">
        <v>721</v>
      </c>
      <c r="B52" s="54" t="s">
        <v>721</v>
      </c>
      <c r="C52" s="54" t="s">
        <v>709</v>
      </c>
      <c r="D52" s="54" t="s">
        <v>710</v>
      </c>
      <c r="E52" s="55" t="s">
        <v>212</v>
      </c>
      <c r="F52" s="56" t="s">
        <v>711</v>
      </c>
      <c r="G52" s="57"/>
      <c r="H52" s="46" t="s">
        <v>678</v>
      </c>
    </row>
    <row r="53" ht="17.25" spans="1:8">
      <c r="A53" s="22"/>
      <c r="B53" s="58" t="s">
        <v>722</v>
      </c>
      <c r="C53" s="58">
        <v>21</v>
      </c>
      <c r="D53" s="58">
        <v>14</v>
      </c>
      <c r="E53" s="59"/>
      <c r="F53" s="60">
        <f>E53/D53</f>
        <v>0</v>
      </c>
      <c r="G53" s="61"/>
      <c r="H53" s="52">
        <f>E53*20</f>
        <v>0</v>
      </c>
    </row>
    <row r="54" ht="17.25" spans="1:8">
      <c r="A54" s="22"/>
      <c r="B54" s="58" t="s">
        <v>723</v>
      </c>
      <c r="C54" s="58">
        <v>21</v>
      </c>
      <c r="D54" s="58">
        <v>18</v>
      </c>
      <c r="E54" s="59"/>
      <c r="F54" s="60">
        <f t="shared" ref="F54:F59" si="8">E54/D54</f>
        <v>0</v>
      </c>
      <c r="G54" s="61"/>
      <c r="H54" s="52">
        <f t="shared" ref="H54:H59" si="9">E54*20</f>
        <v>0</v>
      </c>
    </row>
    <row r="55" ht="17.25" spans="1:8">
      <c r="A55" s="22"/>
      <c r="B55" s="58" t="s">
        <v>724</v>
      </c>
      <c r="C55" s="58">
        <v>13</v>
      </c>
      <c r="D55" s="58">
        <v>10</v>
      </c>
      <c r="E55" s="59"/>
      <c r="F55" s="60">
        <f t="shared" si="8"/>
        <v>0</v>
      </c>
      <c r="G55" s="61"/>
      <c r="H55" s="52">
        <f t="shared" si="9"/>
        <v>0</v>
      </c>
    </row>
    <row r="56" ht="17.25" spans="1:8">
      <c r="A56" s="22"/>
      <c r="B56" s="58" t="s">
        <v>725</v>
      </c>
      <c r="C56" s="58">
        <v>9</v>
      </c>
      <c r="D56" s="58">
        <v>6</v>
      </c>
      <c r="E56" s="59"/>
      <c r="F56" s="60">
        <f t="shared" si="8"/>
        <v>0</v>
      </c>
      <c r="G56" s="61"/>
      <c r="H56" s="52">
        <f t="shared" si="9"/>
        <v>0</v>
      </c>
    </row>
    <row r="57" ht="17.25" spans="1:8">
      <c r="A57" s="22"/>
      <c r="B57" s="58" t="s">
        <v>726</v>
      </c>
      <c r="C57" s="58">
        <v>15</v>
      </c>
      <c r="D57" s="58">
        <v>12</v>
      </c>
      <c r="E57" s="59"/>
      <c r="F57" s="60">
        <f t="shared" si="8"/>
        <v>0</v>
      </c>
      <c r="G57" s="61"/>
      <c r="H57" s="52">
        <f t="shared" si="9"/>
        <v>0</v>
      </c>
    </row>
    <row r="58" ht="17.25" spans="1:8">
      <c r="A58" s="22"/>
      <c r="B58" s="58" t="s">
        <v>727</v>
      </c>
      <c r="C58" s="58">
        <v>19</v>
      </c>
      <c r="D58" s="58">
        <v>12</v>
      </c>
      <c r="E58" s="59"/>
      <c r="F58" s="60">
        <f t="shared" si="8"/>
        <v>0</v>
      </c>
      <c r="G58" s="61"/>
      <c r="H58" s="52">
        <f t="shared" si="9"/>
        <v>0</v>
      </c>
    </row>
    <row r="59" ht="17.25" spans="1:8">
      <c r="A59" s="25"/>
      <c r="B59" s="58" t="s">
        <v>728</v>
      </c>
      <c r="C59" s="58">
        <v>7</v>
      </c>
      <c r="D59" s="58">
        <v>4</v>
      </c>
      <c r="E59" s="59"/>
      <c r="F59" s="60">
        <f t="shared" si="8"/>
        <v>0</v>
      </c>
      <c r="G59" s="61"/>
      <c r="H59" s="52">
        <f t="shared" si="9"/>
        <v>0</v>
      </c>
    </row>
    <row r="70" spans="1:12">
      <c r="A70" s="62"/>
      <c r="B70" s="63"/>
      <c r="C70" s="63"/>
      <c r="D70" s="63"/>
      <c r="E70" s="64"/>
      <c r="F70" s="65"/>
      <c r="G70" s="65"/>
      <c r="H70" s="63"/>
      <c r="I70" s="63"/>
      <c r="J70" s="63"/>
      <c r="K70" s="63"/>
      <c r="L70" s="63"/>
    </row>
    <row r="71" spans="1:12">
      <c r="A71" s="62"/>
      <c r="B71" s="63"/>
      <c r="C71" s="63"/>
      <c r="D71" s="63"/>
      <c r="E71" s="64"/>
      <c r="F71" s="65"/>
      <c r="G71" s="65"/>
      <c r="H71" s="63"/>
      <c r="I71" s="63"/>
      <c r="J71" s="63"/>
      <c r="K71" s="63"/>
      <c r="L71" s="63"/>
    </row>
    <row r="72" spans="1:12">
      <c r="A72" s="62"/>
      <c r="B72" s="63"/>
      <c r="C72" s="66"/>
      <c r="D72" s="66"/>
      <c r="E72" s="67"/>
      <c r="F72" s="68"/>
      <c r="G72" s="68"/>
      <c r="H72" s="63"/>
      <c r="I72" s="63"/>
      <c r="J72" s="63"/>
      <c r="K72" s="63"/>
      <c r="L72" s="63"/>
    </row>
    <row r="73" spans="1:12">
      <c r="A73" s="62"/>
      <c r="B73" s="63"/>
      <c r="C73" s="66"/>
      <c r="D73" s="63"/>
      <c r="E73" s="64"/>
      <c r="F73" s="65"/>
      <c r="G73" s="68"/>
      <c r="H73" s="63"/>
      <c r="I73" s="63"/>
      <c r="J73" s="63"/>
      <c r="K73" s="63"/>
      <c r="L73" s="63"/>
    </row>
    <row r="74" spans="1:12">
      <c r="A74" s="62"/>
      <c r="B74" s="63"/>
      <c r="C74" s="66"/>
      <c r="D74" s="63"/>
      <c r="E74" s="64"/>
      <c r="F74" s="65"/>
      <c r="G74" s="68"/>
      <c r="H74" s="63"/>
      <c r="I74" s="63"/>
      <c r="J74" s="63"/>
      <c r="K74" s="63"/>
      <c r="L74" s="63"/>
    </row>
    <row r="75" spans="1:12">
      <c r="A75" s="62"/>
      <c r="B75" s="63"/>
      <c r="C75" s="66"/>
      <c r="D75" s="63"/>
      <c r="E75" s="64"/>
      <c r="F75" s="65"/>
      <c r="G75" s="68"/>
      <c r="H75" s="63"/>
      <c r="I75" s="63"/>
      <c r="J75" s="63"/>
      <c r="K75" s="63"/>
      <c r="L75" s="63"/>
    </row>
    <row r="76" spans="1:12">
      <c r="A76" s="62"/>
      <c r="B76" s="63"/>
      <c r="C76" s="66"/>
      <c r="D76" s="63"/>
      <c r="E76" s="64"/>
      <c r="F76" s="65"/>
      <c r="G76" s="68"/>
      <c r="H76" s="63"/>
      <c r="I76" s="63"/>
      <c r="J76" s="63"/>
      <c r="K76" s="63"/>
      <c r="L76" s="63"/>
    </row>
    <row r="77" spans="1:12">
      <c r="A77" s="62"/>
      <c r="B77" s="63"/>
      <c r="C77" s="66"/>
      <c r="D77" s="69"/>
      <c r="E77" s="70"/>
      <c r="F77" s="71"/>
      <c r="G77" s="68"/>
      <c r="H77" s="63"/>
      <c r="I77" s="63"/>
      <c r="J77" s="63"/>
      <c r="K77" s="63"/>
      <c r="L77" s="63"/>
    </row>
    <row r="78" spans="1:12">
      <c r="A78" s="62"/>
      <c r="B78" s="63"/>
      <c r="C78" s="66"/>
      <c r="D78" s="66"/>
      <c r="E78" s="67"/>
      <c r="F78" s="68"/>
      <c r="G78" s="68"/>
      <c r="H78" s="63"/>
      <c r="I78" s="63"/>
      <c r="J78" s="63"/>
      <c r="K78" s="63"/>
      <c r="L78" s="63"/>
    </row>
    <row r="79" spans="1:12">
      <c r="A79" s="62"/>
      <c r="B79" s="63"/>
      <c r="C79" s="66"/>
      <c r="D79" s="63"/>
      <c r="E79" s="64"/>
      <c r="F79" s="65"/>
      <c r="G79" s="68"/>
      <c r="H79" s="63"/>
      <c r="I79" s="63"/>
      <c r="J79" s="63"/>
      <c r="K79" s="63"/>
      <c r="L79" s="63"/>
    </row>
    <row r="80" spans="1:12">
      <c r="A80" s="62"/>
      <c r="B80" s="63"/>
      <c r="C80" s="66"/>
      <c r="D80" s="63"/>
      <c r="E80" s="64"/>
      <c r="F80" s="65"/>
      <c r="G80" s="68"/>
      <c r="H80" s="63"/>
      <c r="I80" s="63"/>
      <c r="J80" s="63"/>
      <c r="K80" s="63"/>
      <c r="L80" s="63"/>
    </row>
    <row r="81" spans="1:12">
      <c r="A81" s="62"/>
      <c r="B81" s="63"/>
      <c r="C81" s="66"/>
      <c r="D81" s="63"/>
      <c r="E81" s="64"/>
      <c r="F81" s="65"/>
      <c r="G81" s="68"/>
      <c r="H81" s="63"/>
      <c r="I81" s="63"/>
      <c r="J81" s="63"/>
      <c r="K81" s="63"/>
      <c r="L81" s="63"/>
    </row>
    <row r="82" spans="1:12">
      <c r="A82" s="62"/>
      <c r="B82" s="63"/>
      <c r="C82" s="66"/>
      <c r="D82" s="63"/>
      <c r="E82" s="64"/>
      <c r="F82" s="65"/>
      <c r="G82" s="68"/>
      <c r="H82" s="63"/>
      <c r="I82" s="63"/>
      <c r="J82" s="63"/>
      <c r="K82" s="63"/>
      <c r="L82" s="63"/>
    </row>
    <row r="83" spans="1:12">
      <c r="A83" s="62"/>
      <c r="B83" s="63"/>
      <c r="C83" s="66"/>
      <c r="D83" s="66"/>
      <c r="E83" s="67"/>
      <c r="F83" s="68"/>
      <c r="G83" s="68"/>
      <c r="H83" s="63"/>
      <c r="I83" s="63"/>
      <c r="J83" s="63"/>
      <c r="K83" s="63"/>
      <c r="L83" s="63"/>
    </row>
    <row r="84" spans="1:12">
      <c r="A84" s="62"/>
      <c r="B84" s="63"/>
      <c r="C84" s="63"/>
      <c r="D84" s="63"/>
      <c r="E84" s="64"/>
      <c r="F84" s="65"/>
      <c r="G84" s="65"/>
      <c r="H84" s="63"/>
      <c r="I84" s="63"/>
      <c r="J84" s="63"/>
      <c r="K84" s="63"/>
      <c r="L84" s="63"/>
    </row>
  </sheetData>
  <mergeCells count="34">
    <mergeCell ref="B1:D1"/>
    <mergeCell ref="F1:H1"/>
    <mergeCell ref="A19:H19"/>
    <mergeCell ref="A34:H34"/>
    <mergeCell ref="A40:H40"/>
    <mergeCell ref="F41:G41"/>
    <mergeCell ref="F42:G42"/>
    <mergeCell ref="F43:G43"/>
    <mergeCell ref="F44:G44"/>
    <mergeCell ref="F45:G45"/>
    <mergeCell ref="F46:G46"/>
    <mergeCell ref="F47:G47"/>
    <mergeCell ref="F48:G48"/>
    <mergeCell ref="F49:G49"/>
    <mergeCell ref="F50:G50"/>
    <mergeCell ref="A51:H51"/>
    <mergeCell ref="F52:G52"/>
    <mergeCell ref="F53:G53"/>
    <mergeCell ref="F54:G54"/>
    <mergeCell ref="F55:G55"/>
    <mergeCell ref="F56:G56"/>
    <mergeCell ref="F57:G57"/>
    <mergeCell ref="F58:G58"/>
    <mergeCell ref="F59:G59"/>
    <mergeCell ref="A1:A2"/>
    <mergeCell ref="A3:A18"/>
    <mergeCell ref="A20:A33"/>
    <mergeCell ref="A35:A39"/>
    <mergeCell ref="A41:A50"/>
    <mergeCell ref="A52:A59"/>
    <mergeCell ref="C20:C33"/>
    <mergeCell ref="D3:D18"/>
    <mergeCell ref="F20:F33"/>
    <mergeCell ref="G3:G18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说明</vt:lpstr>
      <vt:lpstr>材料价格</vt:lpstr>
      <vt:lpstr>锻造计算</vt:lpstr>
      <vt:lpstr>缝纫计算</vt:lpstr>
      <vt:lpstr>烹饪计算</vt:lpstr>
      <vt:lpstr>制药计算</vt:lpstr>
      <vt:lpstr>精体性价比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2016-07-05T14:38:04Z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2052-10.1.0.5777</vt:lpwstr>
  </property>
</Properties>
</file>